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EFS/Downloads/"/>
    </mc:Choice>
  </mc:AlternateContent>
  <xr:revisionPtr revIDLastSave="0" documentId="13_ncr:1_{222F4528-A1DD-B049-9AC3-B0CCFFAA7058}" xr6:coauthVersionLast="47" xr6:coauthVersionMax="47" xr10:uidLastSave="{00000000-0000-0000-0000-000000000000}"/>
  <bookViews>
    <workbookView xWindow="2980" yWindow="1160" windowWidth="26840" windowHeight="15940" xr2:uid="{AC9DB0C7-1F4B-2B48-8AEC-C8EC1428983D}"/>
  </bookViews>
  <sheets>
    <sheet name="Buying Plan Notes" sheetId="2" r:id="rId1"/>
    <sheet name="Buying Plan " sheetId="1" r:id="rId2"/>
    <sheet name="Blends Gross Margin Calcs" sheetId="3" r:id="rId3"/>
    <sheet name="SO Gross Margin Calcs "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 l="1"/>
  <c r="C26" i="1"/>
  <c r="B19" i="5"/>
  <c r="B20" i="5"/>
  <c r="B21" i="5"/>
  <c r="E18" i="5"/>
  <c r="G18" i="5" s="1"/>
  <c r="C10" i="5" s="1"/>
  <c r="D10" i="5" s="1"/>
  <c r="E10" i="5" s="1"/>
  <c r="E23" i="1"/>
  <c r="E24" i="1"/>
  <c r="E25" i="1"/>
  <c r="E22" i="1"/>
  <c r="C23" i="1"/>
  <c r="C24" i="1"/>
  <c r="C25" i="1"/>
  <c r="C22" i="1"/>
  <c r="B19" i="1"/>
  <c r="G19" i="5"/>
  <c r="C11" i="5" s="1"/>
  <c r="D11" i="5" s="1"/>
  <c r="E11" i="5" s="1"/>
  <c r="E19" i="5"/>
  <c r="E20" i="5"/>
  <c r="G20" i="5" s="1"/>
  <c r="C12" i="5" s="1"/>
  <c r="D12" i="5" s="1"/>
  <c r="E12" i="5" s="1"/>
  <c r="E21" i="5"/>
  <c r="G21" i="5" s="1"/>
  <c r="C13" i="5" s="1"/>
  <c r="D13" i="5" s="1"/>
  <c r="E13" i="5" s="1"/>
  <c r="F19" i="5"/>
  <c r="F20" i="5"/>
  <c r="F21" i="5"/>
  <c r="F18" i="5"/>
  <c r="D19" i="5"/>
  <c r="D20" i="5"/>
  <c r="D21" i="5"/>
  <c r="D18" i="5"/>
  <c r="C19" i="5"/>
  <c r="C20" i="5"/>
  <c r="C21" i="5"/>
  <c r="C18" i="5"/>
  <c r="C45" i="3"/>
  <c r="C46" i="3" s="1"/>
  <c r="C40" i="3"/>
  <c r="C39" i="3"/>
  <c r="C34" i="3"/>
  <c r="C33" i="3"/>
  <c r="C32" i="3"/>
  <c r="C27" i="3"/>
  <c r="C26" i="3"/>
  <c r="C25" i="3"/>
  <c r="C20" i="3"/>
  <c r="C19" i="3"/>
  <c r="E45" i="3"/>
  <c r="E46" i="3" s="1"/>
  <c r="E40" i="3"/>
  <c r="E39" i="3"/>
  <c r="E34" i="3"/>
  <c r="E33" i="3"/>
  <c r="E32" i="3"/>
  <c r="E27" i="3"/>
  <c r="E26" i="3"/>
  <c r="E25" i="3"/>
  <c r="E20" i="3"/>
  <c r="E19" i="3"/>
  <c r="E18" i="3"/>
  <c r="C41" i="3" l="1"/>
  <c r="C28" i="3"/>
  <c r="C35" i="3"/>
  <c r="C21" i="3"/>
  <c r="E35" i="3"/>
  <c r="E41" i="3"/>
  <c r="E28" i="3"/>
  <c r="E21" i="3"/>
  <c r="G45" i="3"/>
  <c r="G40" i="3"/>
  <c r="G39" i="3"/>
  <c r="G34" i="3"/>
  <c r="G33" i="3"/>
  <c r="G32" i="3"/>
  <c r="G27" i="3"/>
  <c r="G26" i="3"/>
  <c r="G25" i="3"/>
  <c r="G20" i="3"/>
  <c r="G19" i="3"/>
  <c r="G18" i="3"/>
  <c r="D45" i="3"/>
  <c r="D40" i="3"/>
  <c r="F40" i="3" s="1"/>
  <c r="D39" i="3"/>
  <c r="D34" i="3"/>
  <c r="F34" i="3" s="1"/>
  <c r="D33" i="3"/>
  <c r="F33" i="3" s="1"/>
  <c r="D32" i="3"/>
  <c r="D27" i="3"/>
  <c r="F27" i="3" s="1"/>
  <c r="D26" i="3"/>
  <c r="F26" i="3" s="1"/>
  <c r="D25" i="3"/>
  <c r="F25" i="3" s="1"/>
  <c r="D20" i="3"/>
  <c r="F20" i="3" s="1"/>
  <c r="D19" i="3"/>
  <c r="F19" i="3" s="1"/>
  <c r="D18" i="3"/>
  <c r="F18" i="3" s="1"/>
  <c r="F21" i="3" l="1"/>
  <c r="H18" i="3"/>
  <c r="H26" i="3"/>
  <c r="H34" i="3"/>
  <c r="D41" i="3"/>
  <c r="F39" i="3"/>
  <c r="F41" i="3" s="1"/>
  <c r="H19" i="3"/>
  <c r="H27" i="3"/>
  <c r="G41" i="3"/>
  <c r="D35" i="3"/>
  <c r="F32" i="3"/>
  <c r="F35" i="3" s="1"/>
  <c r="H20" i="3"/>
  <c r="G35" i="3"/>
  <c r="H40" i="3"/>
  <c r="F28" i="3"/>
  <c r="D46" i="3"/>
  <c r="F45" i="3"/>
  <c r="F46" i="3" s="1"/>
  <c r="H25" i="3"/>
  <c r="H33" i="3"/>
  <c r="G46" i="3"/>
  <c r="D28" i="3"/>
  <c r="G28" i="3"/>
  <c r="G21" i="3"/>
  <c r="D21" i="3"/>
  <c r="C10" i="1"/>
  <c r="E10" i="1" s="1"/>
  <c r="C11" i="1"/>
  <c r="E11" i="1" s="1"/>
  <c r="C12" i="1"/>
  <c r="E12" i="1" s="1"/>
  <c r="C13" i="1"/>
  <c r="E13" i="1" s="1"/>
  <c r="C14" i="1"/>
  <c r="E14" i="1" s="1"/>
  <c r="C15" i="1"/>
  <c r="E15" i="1" s="1"/>
  <c r="C16" i="1"/>
  <c r="E16" i="1" s="1"/>
  <c r="C17" i="1"/>
  <c r="E17" i="1" s="1"/>
  <c r="C18" i="1"/>
  <c r="E18" i="1" s="1"/>
  <c r="C9" i="1"/>
  <c r="C19" i="1" s="1"/>
  <c r="E9" i="1" l="1"/>
  <c r="E19" i="1" s="1"/>
  <c r="H32" i="3"/>
  <c r="H35" i="3" s="1"/>
  <c r="C12" i="3" s="1"/>
  <c r="D12" i="3" s="1"/>
  <c r="E12" i="3" s="1"/>
  <c r="H28" i="3"/>
  <c r="C11" i="3" s="1"/>
  <c r="D11" i="3" s="1"/>
  <c r="E11" i="3" s="1"/>
  <c r="H21" i="3"/>
  <c r="C10" i="3" s="1"/>
  <c r="D10" i="3" s="1"/>
  <c r="E10" i="3" s="1"/>
  <c r="H45" i="3"/>
  <c r="H46" i="3" s="1"/>
  <c r="C14" i="3" s="1"/>
  <c r="D14" i="3" s="1"/>
  <c r="E14" i="3" s="1"/>
  <c r="H39" i="3"/>
  <c r="H41" i="3" s="1"/>
  <c r="C13" i="3" s="1"/>
  <c r="D13" i="3" s="1"/>
  <c r="E1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Efficiency for Sustainability </author>
  </authors>
  <commentList>
    <comment ref="A1" authorId="0" shapeId="0" xr:uid="{E8B00F70-31F7-594E-8158-1D8B2418B174}">
      <text>
        <r>
          <rPr>
            <sz val="10"/>
            <color rgb="FF000000"/>
            <rFont val="Tahoma"/>
            <family val="2"/>
          </rPr>
          <t xml:space="preserve">This sheet is the buying plan. It's designed to be a snapshot of the green coffee that a business needs to buy in the future. 
</t>
        </r>
        <r>
          <rPr>
            <sz val="10"/>
            <color rgb="FF000000"/>
            <rFont val="Tahoma"/>
            <family val="2"/>
          </rPr>
          <t xml:space="preserve">
</t>
        </r>
        <r>
          <rPr>
            <sz val="10"/>
            <color rgb="FF000000"/>
            <rFont val="Tahoma"/>
            <family val="2"/>
          </rPr>
          <t xml:space="preserve">A green coffee buyer can use this sheet to make sure the organization is buying the right amount of coffee. 
</t>
        </r>
        <r>
          <rPr>
            <sz val="10"/>
            <color rgb="FF000000"/>
            <rFont val="Tahoma"/>
            <family val="2"/>
          </rPr>
          <t xml:space="preserve">
</t>
        </r>
        <r>
          <rPr>
            <sz val="10"/>
            <color rgb="FF000000"/>
            <rFont val="Tahoma"/>
            <family val="2"/>
          </rPr>
          <t xml:space="preserve">This sheet can be useful for communication and transparency between the green buyer and and company leadership. 
</t>
        </r>
        <r>
          <rPr>
            <sz val="10"/>
            <color rgb="FF000000"/>
            <rFont val="Tahoma"/>
            <family val="2"/>
          </rPr>
          <t xml:space="preserve">
</t>
        </r>
        <r>
          <rPr>
            <sz val="10"/>
            <color rgb="FF000000"/>
            <rFont val="Tahoma"/>
            <family val="2"/>
          </rPr>
          <t xml:space="preserve">The business can use this sheet for projecting monthly and annual green coffee costs. 
</t>
        </r>
        <r>
          <rPr>
            <sz val="10"/>
            <color rgb="FF000000"/>
            <rFont val="Tahoma"/>
            <family val="2"/>
          </rPr>
          <t xml:space="preserve">
</t>
        </r>
        <r>
          <rPr>
            <sz val="10"/>
            <color rgb="FF000000"/>
            <rFont val="Tahoma"/>
            <family val="2"/>
          </rPr>
          <t xml:space="preserve">This is just one example of a very simple buying plan. Every business will want to structure this spreadsheet differently depending on the needs of the organization. </t>
        </r>
      </text>
    </comment>
    <comment ref="B8" authorId="0" shapeId="0" xr:uid="{6605085F-0DAD-2E41-A8B8-92A32FF56584}">
      <text>
        <r>
          <rPr>
            <sz val="10"/>
            <color rgb="FF000000"/>
            <rFont val="Tahoma"/>
            <family val="2"/>
          </rPr>
          <t xml:space="preserve">These values come from the Blend Volume Estimates tab of the inventory management sopreadsheet
</t>
        </r>
        <r>
          <rPr>
            <sz val="10"/>
            <color rgb="FF000000"/>
            <rFont val="Tahoma"/>
            <family val="2"/>
          </rPr>
          <t xml:space="preserve">
</t>
        </r>
      </text>
    </comment>
    <comment ref="B21" authorId="0" shapeId="0" xr:uid="{75D17A4C-0FBB-D04D-8F4C-A241BACAA789}">
      <text>
        <r>
          <rPr>
            <sz val="10"/>
            <color rgb="FF000000"/>
            <rFont val="Tahoma"/>
            <family val="2"/>
          </rPr>
          <t>These values come from the Weekly Single Origin Use tab of the inventory management spreadhseet</t>
        </r>
        <r>
          <rPr>
            <b/>
            <sz val="10"/>
            <color rgb="FF000000"/>
            <rFont val="Tahoma"/>
            <family val="2"/>
          </rPr>
          <t xml:space="preserve">. 
</t>
        </r>
        <r>
          <rPr>
            <b/>
            <sz val="10"/>
            <color rgb="FF000000"/>
            <rFont val="Tahoma"/>
            <family val="2"/>
          </rPr>
          <t xml:space="preserve">
</t>
        </r>
        <r>
          <rPr>
            <sz val="10"/>
            <color rgb="FF000000"/>
            <rFont val="Tahoma"/>
            <family val="2"/>
          </rPr>
          <t xml:space="preserve">These calculations assume that Example Coffee Company has only these 4 Single Origin Coffees, and offers them all year long.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Efficiency for Sustainability </author>
  </authors>
  <commentList>
    <comment ref="B4" authorId="0" shapeId="0" xr:uid="{FEB9C3CD-2A64-BF40-BE60-69FA71CD0DE4}">
      <text>
        <r>
          <rPr>
            <sz val="10"/>
            <color rgb="FF000000"/>
            <rFont val="Tahoma"/>
            <family val="2"/>
          </rPr>
          <t xml:space="preserve">This figure comes from the Cost of Production spreadhseet. 
</t>
        </r>
        <r>
          <rPr>
            <sz val="10"/>
            <color rgb="FF000000"/>
            <rFont val="Tahoma"/>
            <family val="2"/>
          </rPr>
          <t xml:space="preserve">
</t>
        </r>
      </text>
    </comment>
    <comment ref="B5" authorId="0" shapeId="0" xr:uid="{E5F9B9E9-E497-D547-B3DF-5D4FF36D4C01}">
      <text>
        <r>
          <rPr>
            <sz val="10"/>
            <color rgb="FF000000"/>
            <rFont val="Tahoma"/>
            <family val="2"/>
          </rPr>
          <t xml:space="preserve">The % of coffee weight lost during roasting will vary between roasters and coffees and is easily caluculated by weighing coffee before and after it is roasted. 
</t>
        </r>
        <r>
          <rPr>
            <sz val="10"/>
            <color rgb="FF000000"/>
            <rFont val="Tahoma"/>
            <family val="2"/>
          </rPr>
          <t xml:space="preserve">
</t>
        </r>
        <r>
          <rPr>
            <sz val="10"/>
            <color rgb="FF000000"/>
            <rFont val="Tahoma"/>
            <family val="2"/>
          </rPr>
          <t xml:space="preserve">It can be a good idea to add some buffer on top of estimated % weight loss to account for coffee that gets wasted, spilled on the ground, roasted imporperly, etc. </t>
        </r>
      </text>
    </comment>
    <comment ref="B6" authorId="0" shapeId="0" xr:uid="{8BDE3C29-E5DF-6347-989A-0F9814E5B5ED}">
      <text>
        <r>
          <rPr>
            <sz val="10"/>
            <color rgb="FF000000"/>
            <rFont val="Tahoma"/>
            <family val="2"/>
          </rPr>
          <t xml:space="preserve">Actual Gross Margin % will change based on the price at which coffee is being sold. This spreadsheet assumes that all of the coffee is being sold to a single customer at the same price. 
</t>
        </r>
        <r>
          <rPr>
            <sz val="10"/>
            <color rgb="FF000000"/>
            <rFont val="Tahoma"/>
            <family val="2"/>
          </rPr>
          <t xml:space="preserve">
</t>
        </r>
        <r>
          <rPr>
            <sz val="10"/>
            <color rgb="FF000000"/>
            <rFont val="Tahoma"/>
            <family val="2"/>
          </rPr>
          <t xml:space="preserve">Setting a Gross margin % Target will depend greatly on the type of coffee business and 50% is not meant to be a guideline for setting a target.  </t>
        </r>
      </text>
    </comment>
    <comment ref="B7" authorId="0" shapeId="0" xr:uid="{494CF20A-D0D8-7F43-9126-808D363A426F}">
      <text>
        <r>
          <rPr>
            <sz val="10"/>
            <color rgb="FF000000"/>
            <rFont val="Tahoma"/>
            <family val="2"/>
          </rPr>
          <t xml:space="preserve">Domestic Freight cost is calculated by dividing the total cost of moving coffee from EXW to the roasting facility by the total number of pounds moved. 
</t>
        </r>
        <r>
          <rPr>
            <sz val="10"/>
            <color rgb="FF000000"/>
            <rFont val="Tahoma"/>
            <family val="2"/>
          </rPr>
          <t xml:space="preserve">
</t>
        </r>
        <r>
          <rPr>
            <sz val="10"/>
            <color rgb="FF000000"/>
            <rFont val="Tahoma"/>
            <family val="2"/>
          </rPr>
          <t>This figure will vary greatly between roasters.</t>
        </r>
      </text>
    </comment>
    <comment ref="C9" authorId="0" shapeId="0" xr:uid="{8E9664DB-7BFD-0747-AF84-ED9071FAB8D9}">
      <text>
        <r>
          <rPr>
            <sz val="10"/>
            <color rgb="FF000000"/>
            <rFont val="Tahoma"/>
            <family val="2"/>
          </rPr>
          <t xml:space="preserve">Green Coffee Price + Cost of Domestic Freight Per lb + Cost of production per lb - Coffee lost during roasting = </t>
        </r>
        <r>
          <rPr>
            <b/>
            <sz val="10"/>
            <color rgb="FF000000"/>
            <rFont val="Tahoma"/>
            <family val="2"/>
          </rPr>
          <t xml:space="preserve">Fully Loaded Cost </t>
        </r>
      </text>
    </comment>
    <comment ref="E9" authorId="0" shapeId="0" xr:uid="{E59D079E-E6A4-2C42-85F4-5DF2ECED8E65}">
      <text>
        <r>
          <rPr>
            <sz val="10"/>
            <color rgb="FF000000"/>
            <rFont val="Tahoma"/>
            <family val="2"/>
          </rPr>
          <t xml:space="preserve">Gross Margin % is the percentage of the sale price that becomes Gross Profit.
</t>
        </r>
      </text>
    </comment>
  </commentList>
</comments>
</file>

<file path=xl/sharedStrings.xml><?xml version="1.0" encoding="utf-8"?>
<sst xmlns="http://schemas.openxmlformats.org/spreadsheetml/2006/main" count="129" uniqueCount="64">
  <si>
    <t xml:space="preserve">Example Coffee Company Purchasing Plan </t>
  </si>
  <si>
    <t>Blend Components</t>
  </si>
  <si>
    <t>Brazil</t>
  </si>
  <si>
    <t>Colombia</t>
  </si>
  <si>
    <t xml:space="preserve">Honduras </t>
  </si>
  <si>
    <t>Peru</t>
  </si>
  <si>
    <t>Washed Ethiopia</t>
  </si>
  <si>
    <t>Natural Ethiopia</t>
  </si>
  <si>
    <t>Sumatra</t>
  </si>
  <si>
    <t>Mexico</t>
  </si>
  <si>
    <t>Guatemala</t>
  </si>
  <si>
    <t xml:space="preserve">Decaf </t>
  </si>
  <si>
    <t>Single Origin Coffees</t>
  </si>
  <si>
    <t>El Salvador</t>
  </si>
  <si>
    <t>Costa Rica</t>
  </si>
  <si>
    <t>Ecuador</t>
  </si>
  <si>
    <t xml:space="preserve">Congo </t>
  </si>
  <si>
    <t xml:space="preserve">Price Target </t>
  </si>
  <si>
    <t>Per Unit Cost of Production</t>
  </si>
  <si>
    <t xml:space="preserve">Total Projected Annual Green Coffee lbs </t>
  </si>
  <si>
    <t xml:space="preserve">Projected Weekly Volume (lbs) </t>
  </si>
  <si>
    <t>Projected Annual Volume (lbs)</t>
  </si>
  <si>
    <t>Bag Weight (kg)</t>
  </si>
  <si>
    <t>Espresso Blend</t>
  </si>
  <si>
    <t>% of Blend</t>
  </si>
  <si>
    <t>Breakfast Blend</t>
  </si>
  <si>
    <t>Honduras</t>
  </si>
  <si>
    <t>House Blend</t>
  </si>
  <si>
    <t xml:space="preserve">Colombia </t>
  </si>
  <si>
    <t xml:space="preserve">Natural Ethiopia </t>
  </si>
  <si>
    <t xml:space="preserve">Dark Roast Blend </t>
  </si>
  <si>
    <t xml:space="preserve">Green Coffee Price </t>
  </si>
  <si>
    <t xml:space="preserve">Average Cost of Domestic Freight per lb </t>
  </si>
  <si>
    <t xml:space="preserve">Domestic Freight </t>
  </si>
  <si>
    <t>Average Total Weight Loss</t>
  </si>
  <si>
    <t xml:space="preserve">Fully Loaded Cost Per Lb </t>
  </si>
  <si>
    <t xml:space="preserve">Total Cost per lb </t>
  </si>
  <si>
    <t>Total Cost per lb</t>
  </si>
  <si>
    <t xml:space="preserve">Fully Loaded Cost per lb </t>
  </si>
  <si>
    <t>Cost of Production per lb</t>
  </si>
  <si>
    <t xml:space="preserve">Cost of Production per lb </t>
  </si>
  <si>
    <t xml:space="preserve">Espresso Blend </t>
  </si>
  <si>
    <t xml:space="preserve">Breakfast Blend </t>
  </si>
  <si>
    <t xml:space="preserve">Inputs </t>
  </si>
  <si>
    <t>Decaf</t>
  </si>
  <si>
    <t xml:space="preserve">Sale Price </t>
  </si>
  <si>
    <t>Fully Loaded Cost</t>
  </si>
  <si>
    <t xml:space="preserve">Weighted Average  </t>
  </si>
  <si>
    <t xml:space="preserve">Weighted Average </t>
  </si>
  <si>
    <t>Sum</t>
  </si>
  <si>
    <t xml:space="preserve">El Salvador </t>
  </si>
  <si>
    <t xml:space="preserve">Costa Rica </t>
  </si>
  <si>
    <t xml:space="preserve">Ecuador </t>
  </si>
  <si>
    <t>Congo</t>
  </si>
  <si>
    <t xml:space="preserve">SO Products </t>
  </si>
  <si>
    <t>Bags per month</t>
  </si>
  <si>
    <t>SO gross Margin Calculator</t>
  </si>
  <si>
    <t xml:space="preserve">Product gross Margins </t>
  </si>
  <si>
    <t xml:space="preserve">Gross Margin % Target </t>
  </si>
  <si>
    <t xml:space="preserve">Gross Margin </t>
  </si>
  <si>
    <t xml:space="preserve">Gross Margin % </t>
  </si>
  <si>
    <t>Blends Gross Margin Calculator</t>
  </si>
  <si>
    <t xml:space="preserve">Product Gross Margins </t>
  </si>
  <si>
    <t xml:space="preserve">Target Retail Gross Margin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</si>
</sst>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7" x14ac:knownFonts="1">
    <font>
      <sz val="12"/>
      <color theme="1"/>
      <name val="Calibri"/>
      <family val="2"/>
      <scheme val="minor"/>
    </font>
    <font>
      <sz val="12"/>
      <color theme="1"/>
      <name val="Calibri"/>
      <family val="2"/>
      <scheme val="minor"/>
    </font>
    <font>
      <b/>
      <sz val="12"/>
      <color theme="1"/>
      <name val="Calibri"/>
      <family val="2"/>
      <scheme val="minor"/>
    </font>
    <font>
      <b/>
      <sz val="12"/>
      <color rgb="FF000000"/>
      <name val="Calibri"/>
      <family val="2"/>
      <scheme val="minor"/>
    </font>
    <font>
      <sz val="12"/>
      <color rgb="FF000000"/>
      <name val="Calibri"/>
      <family val="2"/>
      <scheme val="minor"/>
    </font>
    <font>
      <sz val="10"/>
      <color rgb="FF000000"/>
      <name val="Tahoma"/>
      <family val="2"/>
    </font>
    <font>
      <b/>
      <sz val="10"/>
      <color rgb="FF000000"/>
      <name val="Tahoma"/>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2">
    <xf numFmtId="0" fontId="0" fillId="0" borderId="0" xfId="0"/>
    <xf numFmtId="0" fontId="0" fillId="0" borderId="1" xfId="0" applyBorder="1"/>
    <xf numFmtId="0" fontId="2" fillId="0" borderId="0" xfId="0" applyFont="1"/>
    <xf numFmtId="9" fontId="0" fillId="0" borderId="1" xfId="2" applyFont="1" applyBorder="1"/>
    <xf numFmtId="44" fontId="0" fillId="0" borderId="1" xfId="1" applyFont="1" applyBorder="1"/>
    <xf numFmtId="3" fontId="0" fillId="0" borderId="1" xfId="0" applyNumberFormat="1" applyBorder="1"/>
    <xf numFmtId="3" fontId="0" fillId="0" borderId="0" xfId="0" applyNumberFormat="1"/>
    <xf numFmtId="44" fontId="0" fillId="0" borderId="0" xfId="1" applyFont="1" applyBorder="1"/>
    <xf numFmtId="9" fontId="0" fillId="0" borderId="0" xfId="2" applyFont="1" applyBorder="1"/>
    <xf numFmtId="0" fontId="3" fillId="0" borderId="0" xfId="0" applyFont="1"/>
    <xf numFmtId="0" fontId="4" fillId="0" borderId="0" xfId="0" applyFont="1"/>
    <xf numFmtId="0" fontId="4" fillId="0" borderId="1" xfId="0" applyFont="1" applyBorder="1"/>
    <xf numFmtId="9" fontId="4" fillId="0" borderId="2" xfId="0" applyNumberFormat="1" applyFont="1" applyBorder="1"/>
    <xf numFmtId="0" fontId="4" fillId="0" borderId="3" xfId="0" applyFont="1" applyBorder="1"/>
    <xf numFmtId="9" fontId="4" fillId="0" borderId="4" xfId="0" applyNumberFormat="1" applyFont="1" applyBorder="1"/>
    <xf numFmtId="9" fontId="4" fillId="0" borderId="0" xfId="0" applyNumberFormat="1" applyFont="1"/>
    <xf numFmtId="44" fontId="0" fillId="0" borderId="0" xfId="1" applyFont="1"/>
    <xf numFmtId="9" fontId="0" fillId="0" borderId="0" xfId="2" applyFont="1"/>
    <xf numFmtId="44" fontId="0" fillId="0" borderId="1" xfId="0" applyNumberFormat="1" applyBorder="1"/>
    <xf numFmtId="9" fontId="0" fillId="0" borderId="1" xfId="0" applyNumberFormat="1" applyBorder="1"/>
    <xf numFmtId="44" fontId="4" fillId="0" borderId="2" xfId="1" applyFont="1" applyBorder="1"/>
    <xf numFmtId="44" fontId="4" fillId="0" borderId="4" xfId="1" applyFont="1" applyBorder="1"/>
    <xf numFmtId="44" fontId="4" fillId="0" borderId="0" xfId="0" applyNumberFormat="1" applyFont="1"/>
    <xf numFmtId="9" fontId="4" fillId="0" borderId="0" xfId="2" applyFont="1"/>
    <xf numFmtId="44" fontId="4" fillId="0" borderId="0" xfId="1" applyFont="1"/>
    <xf numFmtId="44" fontId="0" fillId="0" borderId="0" xfId="0" applyNumberFormat="1"/>
    <xf numFmtId="43" fontId="0" fillId="0" borderId="1" xfId="3" applyFont="1" applyBorder="1"/>
    <xf numFmtId="164" fontId="0" fillId="0" borderId="0" xfId="3" applyNumberFormat="1" applyFont="1"/>
    <xf numFmtId="44" fontId="4" fillId="0" borderId="0" xfId="1" applyFont="1" applyBorder="1"/>
    <xf numFmtId="9" fontId="0" fillId="0" borderId="0" xfId="0" applyNumberFormat="1"/>
    <xf numFmtId="9" fontId="4" fillId="0" borderId="0" xfId="2" applyFont="1" applyBorder="1"/>
    <xf numFmtId="44" fontId="4" fillId="0" borderId="1" xfId="1" applyFont="1" applyBorder="1"/>
  </cellXfs>
  <cellStyles count="4">
    <cellStyle name="Comma" xfId="3" builtinId="3"/>
    <cellStyle name="Currency" xfId="1" builtinId="4"/>
    <cellStyle name="Normal" xfId="0" builtinId="0"/>
    <cellStyle name="Percent" xfId="2" builtinId="5"/>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254000</xdr:colOff>
      <xdr:row>0</xdr:row>
      <xdr:rowOff>76200</xdr:rowOff>
    </xdr:from>
    <xdr:to>
      <xdr:col>19</xdr:col>
      <xdr:colOff>266700</xdr:colOff>
      <xdr:row>54</xdr:row>
      <xdr:rowOff>25400</xdr:rowOff>
    </xdr:to>
    <xdr:sp macro="" textlink="">
      <xdr:nvSpPr>
        <xdr:cNvPr id="2" name="TextBox 1">
          <a:extLst>
            <a:ext uri="{FF2B5EF4-FFF2-40B4-BE49-F238E27FC236}">
              <a16:creationId xmlns:a16="http://schemas.microsoft.com/office/drawing/2014/main" id="{F2ED74B6-0CFB-EF4C-7CC9-0100A365AFF3}"/>
            </a:ext>
          </a:extLst>
        </xdr:cNvPr>
        <xdr:cNvSpPr txBox="1"/>
      </xdr:nvSpPr>
      <xdr:spPr>
        <a:xfrm>
          <a:off x="254000" y="76200"/>
          <a:ext cx="15697200" cy="1092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a:t>Buying Plan</a:t>
          </a:r>
          <a:r>
            <a:rPr lang="en-US" sz="1400" u="sng" baseline="0"/>
            <a:t> </a:t>
          </a:r>
        </a:p>
        <a:p>
          <a:r>
            <a:rPr lang="en-US" sz="1400" u="none" baseline="0"/>
            <a:t>The spreaadhseet combines information and data from the Inventory Management Spreadhseet and the Cost of Production and Margin spreadhseet to create a buying plan for a coffee roasting operation. The Gross Margin Spreadsheets are taken directly from the Cost of Production and Margin Calculator. In this spreadheet they are used to calculate the highest price for green coffee that the organization can pay and still hit margin targets. </a:t>
          </a:r>
        </a:p>
        <a:p>
          <a:endParaRPr lang="en-US" sz="1400" u="sng" baseline="0"/>
        </a:p>
        <a:p>
          <a:r>
            <a:rPr lang="en-US" sz="1400" b="1" u="none" baseline="0"/>
            <a:t>Why?</a:t>
          </a:r>
        </a:p>
        <a:p>
          <a:r>
            <a:rPr lang="en-US" sz="1400" b="0" u="none" baseline="0"/>
            <a:t>Having a good buying plan is important for a coffee roasting operation for many reasons, including:</a:t>
          </a:r>
        </a:p>
        <a:p>
          <a:r>
            <a:rPr lang="en-US" sz="1400" b="0" u="none" baseline="0"/>
            <a:t>-Helps the green coffee buyer buy the right amount of coffee</a:t>
          </a:r>
        </a:p>
        <a:p>
          <a:r>
            <a:rPr lang="en-US" sz="1400" b="0" u="none" baseline="0"/>
            <a:t>-Helps the green coffee buyer buy coffee for a price at which the company will have a profitable finished product</a:t>
          </a:r>
        </a:p>
        <a:p>
          <a:r>
            <a:rPr lang="en-US" sz="1400" b="0" u="none" baseline="0"/>
            <a:t>-Allows the company to project costs in the future</a:t>
          </a:r>
        </a:p>
        <a:p>
          <a:r>
            <a:rPr lang="en-US" sz="1400" b="0" u="none" baseline="0"/>
            <a:t>-Allows the green buyer to communicate effectively about future coffee needs with suppliers</a:t>
          </a:r>
        </a:p>
        <a:p>
          <a:r>
            <a:rPr lang="en-US" sz="1400" b="0" u="none" baseline="0"/>
            <a:t>-The buying plan is a useful tool when roasting companies have to make decisions around when to fix the price of coffees</a:t>
          </a:r>
          <a:endParaRPr lang="en-US" sz="1400" b="1" u="none" baseline="0"/>
        </a:p>
        <a:p>
          <a:endParaRPr lang="en-US" sz="1400" b="0" u="none" baseline="0"/>
        </a:p>
        <a:p>
          <a:r>
            <a:rPr lang="en-US" sz="1400" b="1" u="none" baseline="0"/>
            <a:t>How?</a:t>
          </a:r>
        </a:p>
        <a:p>
          <a:r>
            <a:rPr lang="en-US" sz="1400" b="0" u="none" baseline="0"/>
            <a:t>To create a buying plan, a business can use the numbers from the inventory management spreadsheet to project:</a:t>
          </a:r>
        </a:p>
        <a:p>
          <a:r>
            <a:rPr lang="en-US" sz="1400" b="0" u="none" baseline="0"/>
            <a:t>1) How much of each coffee the business will need in the future</a:t>
          </a:r>
        </a:p>
        <a:p>
          <a:r>
            <a:rPr lang="en-US" sz="1400" b="0" u="none" baseline="0"/>
            <a:t>2) What price the business can pay for green coffee and still hit profitablity targets</a:t>
          </a:r>
        </a:p>
        <a:p>
          <a:endParaRPr lang="en-US" sz="1400" b="0" u="none" baseline="0"/>
        </a:p>
        <a:p>
          <a:r>
            <a:rPr lang="en-US" sz="1400" b="1" u="none" baseline="0"/>
            <a:t>Gross Margin % tabs</a:t>
          </a:r>
        </a:p>
        <a:p>
          <a:r>
            <a:rPr lang="en-US" sz="1400" b="0" u="none" baseline="0"/>
            <a:t>This spreadsheet sets a gross margin % target of 50%. In reality, most coffee companies will have many customers that buy coffee at different price points, and therefore, different margins. Understanding your margins at different price levels can be very helpful for setting prices for retail and wholesale. </a:t>
          </a:r>
        </a:p>
        <a:p>
          <a:endParaRPr lang="en-US" sz="1400" b="0" u="none" baseline="0"/>
        </a:p>
        <a:p>
          <a:r>
            <a:rPr lang="en-US" sz="1400" b="0" u="none" baseline="0"/>
            <a:t>The margin % target of 50% is just an example and might not be a good target for many comapnies. When setting prices, companies should consider how their prices compare to competitors in the market. Understanding costs and margins can keep a busniess from selling a coffee at a price where it is not profitable. </a:t>
          </a:r>
        </a:p>
        <a:p>
          <a:endParaRPr lang="en-US" sz="1400" b="0" u="none" baseline="0"/>
        </a:p>
        <a:p>
          <a:r>
            <a:rPr lang="en-US" sz="1400" b="1" u="none" baseline="0"/>
            <a:t>Reverse Engineer Green Prices Using Goal Seek</a:t>
          </a:r>
        </a:p>
        <a:p>
          <a:r>
            <a:rPr lang="en-US" sz="1400" b="0" u="none" baseline="0"/>
            <a:t>Being able to calculate the highest price that you can pay for green coffee is a very useful tool for the sustianabilty focused coffee buyer. Knowing the numbers can allow a sustainability minded company pay high prices for coffee while ensuring that they are selling the product at a profit. </a:t>
          </a:r>
        </a:p>
        <a:p>
          <a:endParaRPr lang="en-US" sz="1400" b="1" u="none" baseline="0"/>
        </a:p>
        <a:p>
          <a:r>
            <a:rPr lang="en-US" sz="1400" b="0" u="none" baseline="0"/>
            <a:t>The business can use the Gross Margin Calcs sheets to reverse engineer the highest price that they can pay for green coffee. </a:t>
          </a:r>
        </a:p>
        <a:p>
          <a:endParaRPr lang="en-US" sz="1400" b="0" u="none" baseline="0"/>
        </a:p>
        <a:p>
          <a:r>
            <a:rPr lang="en-US" sz="1400" b="0" u="none" baseline="0"/>
            <a:t>How to use this spredsheet to reverse engineer the max price your business can pay for a coffee:</a:t>
          </a:r>
        </a:p>
        <a:p>
          <a:r>
            <a:rPr lang="en-US" sz="1400" b="0" u="none" baseline="0"/>
            <a:t>1)Use either the 'Blends Gross Margin Calcs' or 'SO Gross Margin Calcs' tab</a:t>
          </a:r>
        </a:p>
        <a:p>
          <a:r>
            <a:rPr lang="en-US" sz="1400" b="0" u="none" baseline="0"/>
            <a:t>2) Clear the "Green Coffee Price" cell that you'd like to calculate a max price for </a:t>
          </a:r>
        </a:p>
        <a:p>
          <a:r>
            <a:rPr lang="en-US" sz="1400" b="0" u="none" baseline="0"/>
            <a:t>3) Select "Data"&gt;"What-if Analysis"&gt; "Goal seek" </a:t>
          </a:r>
        </a:p>
        <a:p>
          <a:r>
            <a:rPr lang="en-US" sz="1400" b="0" u="none" baseline="0"/>
            <a:t>4</a:t>
          </a:r>
          <a:r>
            <a:rPr lang="en-US" sz="1400" b="1" u="none" baseline="0"/>
            <a:t>) Set Cell</a:t>
          </a:r>
          <a:r>
            <a:rPr lang="en-US" sz="1400" b="0" u="none" baseline="0"/>
            <a:t>: Select the gross margin % cell associated with the coffee</a:t>
          </a:r>
        </a:p>
        <a:p>
          <a:r>
            <a:rPr lang="en-US" sz="1400" b="0" u="none" baseline="0"/>
            <a:t>    </a:t>
          </a:r>
          <a:r>
            <a:rPr lang="en-US" sz="1400" b="1" u="none" baseline="0"/>
            <a:t>To: </a:t>
          </a:r>
          <a:r>
            <a:rPr lang="en-US" sz="1400" b="0" u="none" baseline="0"/>
            <a:t>Input your target margin % as a decimal </a:t>
          </a:r>
        </a:p>
        <a:p>
          <a:r>
            <a:rPr lang="en-US" sz="1400" b="0" u="none" baseline="0"/>
            <a:t>    </a:t>
          </a:r>
          <a:r>
            <a:rPr lang="en-US" sz="1400" b="1" u="none" baseline="0"/>
            <a:t>By Changing Cell: </a:t>
          </a:r>
          <a:r>
            <a:rPr lang="en-US" sz="1400" b="0" u="none" baseline="0"/>
            <a:t>Select the "Green Coffee Price" cell that you're trying to calculate</a:t>
          </a:r>
        </a:p>
        <a:p>
          <a:r>
            <a:rPr lang="en-US" sz="1400" b="0" u="none" baseline="0"/>
            <a:t>5) Select "ok". Excel will input the highest value that you can pay for that particular coffee into the "Green Coffee Price" cell. </a:t>
          </a:r>
        </a:p>
        <a:p>
          <a:endParaRPr lang="en-US" sz="1400" b="0" u="none" baseline="0"/>
        </a:p>
        <a:p>
          <a:r>
            <a:rPr lang="en-US" sz="1400" b="0" u="none" baseline="0"/>
            <a:t>     </a:t>
          </a:r>
          <a:endParaRPr lang="en-US" sz="1400" b="1" u="none" baseline="0"/>
        </a:p>
        <a:p>
          <a:r>
            <a:rPr lang="en-US" sz="1400" b="1" u="none" baseline="0"/>
            <a:t>Notes:</a:t>
          </a:r>
        </a:p>
        <a:p>
          <a:r>
            <a:rPr lang="en-US" sz="1400" b="0" u="none" baseline="0"/>
            <a:t>This analysis assumes a very simple operation that is only producing 1lb bags of whole bean roasted coffee, and selling all of it at a single price. </a:t>
          </a:r>
        </a:p>
        <a:p>
          <a:endParaRPr lang="en-US" sz="1400" b="0" u="none" baseline="0"/>
        </a:p>
        <a:p>
          <a:pPr marL="0" marR="0" lvl="0" indent="0" defTabSz="914400" eaLnBrk="1" fontAlgn="auto" latinLnBrk="0" hangingPunct="1">
            <a:lnSpc>
              <a:spcPct val="100000"/>
            </a:lnSpc>
            <a:spcBef>
              <a:spcPts val="0"/>
            </a:spcBef>
            <a:spcAft>
              <a:spcPts val="0"/>
            </a:spcAft>
            <a:buClrTx/>
            <a:buSzTx/>
            <a:buFontTx/>
            <a:buNone/>
            <a:tabLst/>
            <a:defRPr/>
          </a:pPr>
          <a:r>
            <a:rPr lang="en-US" sz="1400" b="0" u="none" baseline="0"/>
            <a:t>The figures in this spreadsheet are made up and are not meant to reflect accurate profitablity for a coffee roasting operation. Business profitablity will vary greatly between businesses.</a:t>
          </a:r>
        </a:p>
        <a:p>
          <a:pPr marL="0" marR="0" lvl="0" indent="0" defTabSz="914400" eaLnBrk="1" fontAlgn="auto" latinLnBrk="0" hangingPunct="1">
            <a:lnSpc>
              <a:spcPct val="100000"/>
            </a:lnSpc>
            <a:spcBef>
              <a:spcPts val="0"/>
            </a:spcBef>
            <a:spcAft>
              <a:spcPts val="0"/>
            </a:spcAft>
            <a:buClrTx/>
            <a:buSzTx/>
            <a:buFontTx/>
            <a:buNone/>
            <a:tabLst/>
            <a:defRPr/>
          </a:pPr>
          <a:endParaRPr lang="en-US" sz="1400" b="0" u="none" baseline="0"/>
        </a:p>
        <a:p>
          <a:r>
            <a:rPr lang="en-US" sz="1400" b="0" u="none" baseline="0"/>
            <a:t>This is meant to be a starting point for creating a buying plan for a coffee roasting business, and does not represent numbers from any actual business. </a:t>
          </a:r>
        </a:p>
        <a:p>
          <a:endParaRPr lang="en-US" sz="1400" b="0" u="none" baseline="0"/>
        </a:p>
        <a:p>
          <a:r>
            <a:rPr lang="en-US" sz="1400" b="0" u="sng" baseline="0"/>
            <a:t>Efficiency for Sustainabilty is not responsible for any mistakes, bad data, or wrong assumptions that are generated from using this spreadheet.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C7DF-5EB3-7744-B764-1EA613E01A36}">
  <dimension ref="A1"/>
  <sheetViews>
    <sheetView tabSelected="1" topLeftCell="A22" workbookViewId="0"/>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13B4-C41B-314A-8483-67E35EF59DDA}">
  <dimension ref="A1:F26"/>
  <sheetViews>
    <sheetView workbookViewId="0">
      <selection activeCell="F3" sqref="F3"/>
    </sheetView>
  </sheetViews>
  <sheetFormatPr baseColWidth="10" defaultRowHeight="16" x14ac:dyDescent="0.2"/>
  <cols>
    <col min="1" max="1" width="40.33203125" customWidth="1"/>
    <col min="2" max="6" width="25.83203125" customWidth="1"/>
  </cols>
  <sheetData>
    <row r="1" spans="1:6" x14ac:dyDescent="0.2">
      <c r="A1" s="2" t="s">
        <v>0</v>
      </c>
    </row>
    <row r="3" spans="1:6" x14ac:dyDescent="0.2">
      <c r="A3" s="1" t="s">
        <v>19</v>
      </c>
      <c r="B3" s="5">
        <f>C19+C26</f>
        <v>350064</v>
      </c>
      <c r="C3" s="6"/>
    </row>
    <row r="4" spans="1:6" x14ac:dyDescent="0.2">
      <c r="A4" s="1" t="s">
        <v>18</v>
      </c>
      <c r="B4" s="4">
        <v>2.2000000000000002</v>
      </c>
      <c r="C4" s="7"/>
    </row>
    <row r="5" spans="1:6" x14ac:dyDescent="0.2">
      <c r="A5" s="1" t="s">
        <v>63</v>
      </c>
      <c r="B5" s="3">
        <v>0.5</v>
      </c>
      <c r="C5" s="8"/>
    </row>
    <row r="8" spans="1:6" x14ac:dyDescent="0.2">
      <c r="A8" s="2" t="s">
        <v>1</v>
      </c>
      <c r="B8" t="s">
        <v>20</v>
      </c>
      <c r="C8" t="s">
        <v>21</v>
      </c>
      <c r="D8" t="s">
        <v>22</v>
      </c>
      <c r="E8" t="s">
        <v>55</v>
      </c>
      <c r="F8" t="s">
        <v>17</v>
      </c>
    </row>
    <row r="9" spans="1:6" x14ac:dyDescent="0.2">
      <c r="A9" s="1" t="s">
        <v>2</v>
      </c>
      <c r="B9" s="1">
        <v>1587.5</v>
      </c>
      <c r="C9" s="1">
        <f>B9*52</f>
        <v>82550</v>
      </c>
      <c r="D9" s="1">
        <v>59</v>
      </c>
      <c r="E9" s="26">
        <f>(C9/12)/(D9*2.2)</f>
        <v>52.998202362609142</v>
      </c>
      <c r="F9" s="4">
        <v>3</v>
      </c>
    </row>
    <row r="10" spans="1:6" x14ac:dyDescent="0.2">
      <c r="A10" s="1" t="s">
        <v>3</v>
      </c>
      <c r="B10" s="1">
        <v>1140</v>
      </c>
      <c r="C10" s="1">
        <f t="shared" ref="C10:C18" si="0">B10*52</f>
        <v>59280</v>
      </c>
      <c r="D10" s="1">
        <v>70</v>
      </c>
      <c r="E10" s="26">
        <f t="shared" ref="E10:E18" si="1">(C10/12)/(D10*2.2)</f>
        <v>32.077922077922075</v>
      </c>
      <c r="F10" s="4">
        <v>3.5</v>
      </c>
    </row>
    <row r="11" spans="1:6" x14ac:dyDescent="0.2">
      <c r="A11" s="1" t="s">
        <v>4</v>
      </c>
      <c r="B11" s="1">
        <v>250</v>
      </c>
      <c r="C11" s="1">
        <f t="shared" si="0"/>
        <v>13000</v>
      </c>
      <c r="D11" s="1">
        <v>69</v>
      </c>
      <c r="E11" s="26">
        <f t="shared" si="1"/>
        <v>7.1365832235397439</v>
      </c>
      <c r="F11" s="4">
        <v>3.5</v>
      </c>
    </row>
    <row r="12" spans="1:6" x14ac:dyDescent="0.2">
      <c r="A12" s="1" t="s">
        <v>5</v>
      </c>
      <c r="B12" s="1">
        <v>480</v>
      </c>
      <c r="C12" s="1">
        <f t="shared" si="0"/>
        <v>24960</v>
      </c>
      <c r="D12" s="1">
        <v>69</v>
      </c>
      <c r="E12" s="26">
        <f t="shared" si="1"/>
        <v>13.702239789196311</v>
      </c>
      <c r="F12" s="4">
        <v>3.5</v>
      </c>
    </row>
    <row r="13" spans="1:6" x14ac:dyDescent="0.2">
      <c r="A13" s="1" t="s">
        <v>6</v>
      </c>
      <c r="B13" s="1">
        <v>900</v>
      </c>
      <c r="C13" s="1">
        <f t="shared" si="0"/>
        <v>46800</v>
      </c>
      <c r="D13" s="1">
        <v>60</v>
      </c>
      <c r="E13" s="26">
        <f t="shared" si="1"/>
        <v>29.545454545454547</v>
      </c>
      <c r="F13" s="4">
        <v>4.75</v>
      </c>
    </row>
    <row r="14" spans="1:6" x14ac:dyDescent="0.2">
      <c r="A14" s="1" t="s">
        <v>7</v>
      </c>
      <c r="B14" s="1">
        <v>480</v>
      </c>
      <c r="C14" s="1">
        <f t="shared" si="0"/>
        <v>24960</v>
      </c>
      <c r="D14" s="1">
        <v>60</v>
      </c>
      <c r="E14" s="26">
        <f t="shared" si="1"/>
        <v>15.757575757575758</v>
      </c>
      <c r="F14" s="4">
        <v>4.5</v>
      </c>
    </row>
    <row r="15" spans="1:6" x14ac:dyDescent="0.2">
      <c r="A15" s="1" t="s">
        <v>8</v>
      </c>
      <c r="B15" s="1">
        <v>387.5</v>
      </c>
      <c r="C15" s="1">
        <f t="shared" si="0"/>
        <v>20150</v>
      </c>
      <c r="D15" s="1">
        <v>60</v>
      </c>
      <c r="E15" s="26">
        <f t="shared" si="1"/>
        <v>12.720959595959597</v>
      </c>
      <c r="F15" s="4">
        <v>4</v>
      </c>
    </row>
    <row r="16" spans="1:6" x14ac:dyDescent="0.2">
      <c r="A16" s="1" t="s">
        <v>9</v>
      </c>
      <c r="B16" s="1">
        <v>250</v>
      </c>
      <c r="C16" s="1">
        <f t="shared" si="0"/>
        <v>13000</v>
      </c>
      <c r="D16" s="1">
        <v>69</v>
      </c>
      <c r="E16" s="26">
        <f t="shared" si="1"/>
        <v>7.1365832235397439</v>
      </c>
      <c r="F16" s="4">
        <v>3.75</v>
      </c>
    </row>
    <row r="17" spans="1:6" x14ac:dyDescent="0.2">
      <c r="A17" s="1" t="s">
        <v>10</v>
      </c>
      <c r="B17" s="1">
        <v>500</v>
      </c>
      <c r="C17" s="1">
        <f t="shared" si="0"/>
        <v>26000</v>
      </c>
      <c r="D17" s="1">
        <v>69</v>
      </c>
      <c r="E17" s="26">
        <f t="shared" si="1"/>
        <v>14.273166447079488</v>
      </c>
      <c r="F17" s="4">
        <v>3.75</v>
      </c>
    </row>
    <row r="18" spans="1:6" x14ac:dyDescent="0.2">
      <c r="A18" s="1" t="s">
        <v>11</v>
      </c>
      <c r="B18" s="1">
        <v>400</v>
      </c>
      <c r="C18" s="1">
        <f t="shared" si="0"/>
        <v>20800</v>
      </c>
      <c r="D18" s="1">
        <v>69</v>
      </c>
      <c r="E18" s="26">
        <f t="shared" si="1"/>
        <v>11.418533157663591</v>
      </c>
      <c r="F18" s="4">
        <v>4</v>
      </c>
    </row>
    <row r="19" spans="1:6" x14ac:dyDescent="0.2">
      <c r="A19" t="s">
        <v>49</v>
      </c>
      <c r="B19">
        <f>SUM(B9:B18)</f>
        <v>6375</v>
      </c>
      <c r="C19">
        <f>SUM(C9:C18)</f>
        <v>331500</v>
      </c>
      <c r="E19" s="27">
        <f t="shared" ref="E19" si="2">SUM(E9:E18)</f>
        <v>196.76722018053997</v>
      </c>
    </row>
    <row r="21" spans="1:6" x14ac:dyDescent="0.2">
      <c r="A21" s="2" t="s">
        <v>12</v>
      </c>
      <c r="B21" t="s">
        <v>20</v>
      </c>
      <c r="C21" t="s">
        <v>21</v>
      </c>
      <c r="D21" t="s">
        <v>22</v>
      </c>
      <c r="E21" t="s">
        <v>55</v>
      </c>
      <c r="F21" t="s">
        <v>17</v>
      </c>
    </row>
    <row r="22" spans="1:6" x14ac:dyDescent="0.2">
      <c r="A22" s="1" t="s">
        <v>13</v>
      </c>
      <c r="B22" s="1">
        <v>57</v>
      </c>
      <c r="C22" s="1">
        <f>B22*52</f>
        <v>2964</v>
      </c>
      <c r="D22" s="1">
        <v>69</v>
      </c>
      <c r="E22" s="26">
        <f>(C22/12)/(D22*2.2)</f>
        <v>1.6271409749670618</v>
      </c>
      <c r="F22" s="31">
        <v>5</v>
      </c>
    </row>
    <row r="23" spans="1:6" x14ac:dyDescent="0.2">
      <c r="A23" s="1" t="s">
        <v>14</v>
      </c>
      <c r="B23" s="1">
        <v>98</v>
      </c>
      <c r="C23" s="1">
        <f t="shared" ref="C23:C25" si="3">B23*52</f>
        <v>5096</v>
      </c>
      <c r="D23" s="1">
        <v>69</v>
      </c>
      <c r="E23" s="26">
        <f t="shared" ref="E23:E25" si="4">(C23/12)/(D23*2.2)</f>
        <v>2.7975406236275799</v>
      </c>
      <c r="F23" s="31">
        <v>4.75</v>
      </c>
    </row>
    <row r="24" spans="1:6" x14ac:dyDescent="0.2">
      <c r="A24" s="1" t="s">
        <v>15</v>
      </c>
      <c r="B24" s="1">
        <v>84</v>
      </c>
      <c r="C24" s="1">
        <f t="shared" si="3"/>
        <v>4368</v>
      </c>
      <c r="D24" s="1">
        <v>69</v>
      </c>
      <c r="E24" s="26">
        <f t="shared" si="4"/>
        <v>2.397891963109354</v>
      </c>
      <c r="F24" s="31">
        <v>5.25</v>
      </c>
    </row>
    <row r="25" spans="1:6" x14ac:dyDescent="0.2">
      <c r="A25" s="1" t="s">
        <v>16</v>
      </c>
      <c r="B25" s="1">
        <v>118</v>
      </c>
      <c r="C25" s="1">
        <f t="shared" si="3"/>
        <v>6136</v>
      </c>
      <c r="D25" s="1">
        <v>60</v>
      </c>
      <c r="E25" s="26">
        <f t="shared" si="4"/>
        <v>3.8737373737373737</v>
      </c>
      <c r="F25" s="31">
        <v>5.8</v>
      </c>
    </row>
    <row r="26" spans="1:6" x14ac:dyDescent="0.2">
      <c r="C26">
        <f>SUM(C22:C25)</f>
        <v>18564</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E1BF7-9668-1B4E-9E63-AD55760145D7}">
  <dimension ref="A1:H47"/>
  <sheetViews>
    <sheetView workbookViewId="0">
      <selection activeCell="E6" sqref="E6"/>
    </sheetView>
  </sheetViews>
  <sheetFormatPr baseColWidth="10" defaultRowHeight="16" x14ac:dyDescent="0.2"/>
  <cols>
    <col min="1" max="1" width="37.1640625" customWidth="1"/>
    <col min="2" max="8" width="25.83203125" customWidth="1"/>
  </cols>
  <sheetData>
    <row r="1" spans="1:5" x14ac:dyDescent="0.2">
      <c r="A1" s="2" t="s">
        <v>61</v>
      </c>
    </row>
    <row r="2" spans="1:5" x14ac:dyDescent="0.2">
      <c r="A2" s="2"/>
    </row>
    <row r="3" spans="1:5" x14ac:dyDescent="0.2">
      <c r="A3" s="2" t="s">
        <v>43</v>
      </c>
    </row>
    <row r="4" spans="1:5" x14ac:dyDescent="0.2">
      <c r="A4" t="s">
        <v>18</v>
      </c>
      <c r="B4" s="16">
        <v>2.2000000000000002</v>
      </c>
    </row>
    <row r="5" spans="1:5" x14ac:dyDescent="0.2">
      <c r="A5" t="s">
        <v>34</v>
      </c>
      <c r="B5" s="17">
        <v>0.18</v>
      </c>
    </row>
    <row r="6" spans="1:5" x14ac:dyDescent="0.2">
      <c r="A6" t="s">
        <v>58</v>
      </c>
      <c r="B6" s="17">
        <v>0.5</v>
      </c>
    </row>
    <row r="7" spans="1:5" x14ac:dyDescent="0.2">
      <c r="A7" t="s">
        <v>32</v>
      </c>
      <c r="B7" s="16">
        <v>0.15</v>
      </c>
    </row>
    <row r="8" spans="1:5" x14ac:dyDescent="0.2">
      <c r="B8" s="16"/>
    </row>
    <row r="9" spans="1:5" x14ac:dyDescent="0.2">
      <c r="A9" s="2" t="s">
        <v>62</v>
      </c>
      <c r="B9" s="16" t="s">
        <v>45</v>
      </c>
      <c r="C9" t="s">
        <v>46</v>
      </c>
      <c r="D9" t="s">
        <v>59</v>
      </c>
      <c r="E9" t="s">
        <v>60</v>
      </c>
    </row>
    <row r="10" spans="1:5" x14ac:dyDescent="0.2">
      <c r="A10" t="s">
        <v>41</v>
      </c>
      <c r="B10" s="16">
        <v>20</v>
      </c>
      <c r="C10" s="25">
        <f>H21</f>
        <v>7.3475609756097544</v>
      </c>
      <c r="D10" s="25">
        <f>B10-C10</f>
        <v>12.652439024390246</v>
      </c>
      <c r="E10" s="17">
        <f>D10/B10</f>
        <v>0.63262195121951226</v>
      </c>
    </row>
    <row r="11" spans="1:5" x14ac:dyDescent="0.2">
      <c r="A11" t="s">
        <v>42</v>
      </c>
      <c r="B11" s="16">
        <v>20</v>
      </c>
      <c r="C11" s="25">
        <f>H28</f>
        <v>7.3628048780487791</v>
      </c>
      <c r="D11" s="25">
        <f t="shared" ref="D11:D14" si="0">B11-C11</f>
        <v>12.637195121951221</v>
      </c>
      <c r="E11" s="17">
        <f t="shared" ref="E11:E14" si="1">D11/B11</f>
        <v>0.63185975609756106</v>
      </c>
    </row>
    <row r="12" spans="1:5" x14ac:dyDescent="0.2">
      <c r="A12" t="s">
        <v>27</v>
      </c>
      <c r="B12" s="16">
        <v>20</v>
      </c>
      <c r="C12" s="25">
        <f>H35</f>
        <v>7.6219512195121952</v>
      </c>
      <c r="D12" s="25">
        <f t="shared" si="0"/>
        <v>12.378048780487806</v>
      </c>
      <c r="E12" s="17">
        <f t="shared" si="1"/>
        <v>0.61890243902439024</v>
      </c>
    </row>
    <row r="13" spans="1:5" x14ac:dyDescent="0.2">
      <c r="A13" t="s">
        <v>30</v>
      </c>
      <c r="B13" s="16">
        <v>20</v>
      </c>
      <c r="C13" s="25">
        <f>H41</f>
        <v>7.1341463414634143</v>
      </c>
      <c r="D13" s="25">
        <f t="shared" si="0"/>
        <v>12.865853658536587</v>
      </c>
      <c r="E13" s="17">
        <f t="shared" si="1"/>
        <v>0.64329268292682928</v>
      </c>
    </row>
    <row r="14" spans="1:5" x14ac:dyDescent="0.2">
      <c r="A14" t="s">
        <v>44</v>
      </c>
      <c r="B14" s="16">
        <v>20</v>
      </c>
      <c r="C14" s="25">
        <f>H46</f>
        <v>7.7439024390243905</v>
      </c>
      <c r="D14" s="25">
        <f t="shared" si="0"/>
        <v>12.25609756097561</v>
      </c>
      <c r="E14" s="17">
        <f t="shared" si="1"/>
        <v>0.61280487804878048</v>
      </c>
    </row>
    <row r="15" spans="1:5" x14ac:dyDescent="0.2">
      <c r="A15" s="9"/>
      <c r="B15" s="10"/>
      <c r="C15" s="10"/>
    </row>
    <row r="16" spans="1:5" x14ac:dyDescent="0.2">
      <c r="A16" s="9"/>
      <c r="B16" s="10"/>
      <c r="C16" s="10"/>
    </row>
    <row r="17" spans="1:8" x14ac:dyDescent="0.2">
      <c r="A17" s="9" t="s">
        <v>23</v>
      </c>
      <c r="B17" s="10" t="s">
        <v>24</v>
      </c>
      <c r="C17" s="10" t="s">
        <v>31</v>
      </c>
      <c r="D17" t="s">
        <v>33</v>
      </c>
      <c r="E17" t="s">
        <v>40</v>
      </c>
      <c r="F17" t="s">
        <v>36</v>
      </c>
      <c r="G17" t="s">
        <v>34</v>
      </c>
      <c r="H17" t="s">
        <v>38</v>
      </c>
    </row>
    <row r="18" spans="1:8" x14ac:dyDescent="0.2">
      <c r="A18" s="11" t="s">
        <v>2</v>
      </c>
      <c r="B18" s="12">
        <v>0.4</v>
      </c>
      <c r="C18" s="20">
        <v>3</v>
      </c>
      <c r="D18" s="18">
        <f>B7</f>
        <v>0.15</v>
      </c>
      <c r="E18" s="18">
        <f>B4</f>
        <v>2.2000000000000002</v>
      </c>
      <c r="F18" s="18">
        <f>SUM(C18:E18)</f>
        <v>5.35</v>
      </c>
      <c r="G18" s="19">
        <f>B5</f>
        <v>0.18</v>
      </c>
      <c r="H18" s="4">
        <f>F18/(1-G18)</f>
        <v>6.5243902439024382</v>
      </c>
    </row>
    <row r="19" spans="1:8" x14ac:dyDescent="0.2">
      <c r="A19" s="13" t="s">
        <v>3</v>
      </c>
      <c r="B19" s="14">
        <v>0.3</v>
      </c>
      <c r="C19" s="21">
        <f>'Buying Plan '!F10</f>
        <v>3.5</v>
      </c>
      <c r="D19" s="18">
        <f>B7</f>
        <v>0.15</v>
      </c>
      <c r="E19" s="18">
        <f>B4</f>
        <v>2.2000000000000002</v>
      </c>
      <c r="F19" s="18">
        <f t="shared" ref="F19:F20" si="2">SUM(C19:E19)</f>
        <v>5.85</v>
      </c>
      <c r="G19" s="19">
        <f>B5</f>
        <v>0.18</v>
      </c>
      <c r="H19" s="4">
        <f t="shared" ref="H19:H20" si="3">F19/(1-G19)</f>
        <v>7.1341463414634134</v>
      </c>
    </row>
    <row r="20" spans="1:8" x14ac:dyDescent="0.2">
      <c r="A20" s="13" t="s">
        <v>6</v>
      </c>
      <c r="B20" s="14">
        <v>0.3</v>
      </c>
      <c r="C20" s="21">
        <f>'Buying Plan '!F13</f>
        <v>4.75</v>
      </c>
      <c r="D20" s="18">
        <f>B7</f>
        <v>0.15</v>
      </c>
      <c r="E20" s="18">
        <f>B4</f>
        <v>2.2000000000000002</v>
      </c>
      <c r="F20" s="18">
        <f t="shared" si="2"/>
        <v>7.1000000000000005</v>
      </c>
      <c r="G20" s="19">
        <f>B5</f>
        <v>0.18</v>
      </c>
      <c r="H20" s="4">
        <f t="shared" si="3"/>
        <v>8.6585365853658534</v>
      </c>
    </row>
    <row r="21" spans="1:8" x14ac:dyDescent="0.2">
      <c r="A21" s="10" t="s">
        <v>47</v>
      </c>
      <c r="B21" s="10"/>
      <c r="C21" s="22">
        <f t="shared" ref="C21:H21" si="4">(C18*$B$18)+(C19*$B$19)+(C20*$B$20)</f>
        <v>3.6749999999999998</v>
      </c>
      <c r="D21" s="22">
        <f t="shared" si="4"/>
        <v>0.15</v>
      </c>
      <c r="E21" s="22">
        <f t="shared" si="4"/>
        <v>2.2000000000000002</v>
      </c>
      <c r="F21" s="22">
        <f t="shared" si="4"/>
        <v>6.0250000000000004</v>
      </c>
      <c r="G21" s="23">
        <f t="shared" si="4"/>
        <v>0.18</v>
      </c>
      <c r="H21" s="24">
        <f t="shared" si="4"/>
        <v>7.3475609756097544</v>
      </c>
    </row>
    <row r="22" spans="1:8" x14ac:dyDescent="0.2">
      <c r="A22" s="10"/>
      <c r="B22" s="10"/>
      <c r="C22" s="10"/>
    </row>
    <row r="23" spans="1:8" x14ac:dyDescent="0.2">
      <c r="A23" s="10"/>
      <c r="B23" s="10"/>
      <c r="C23" s="10"/>
    </row>
    <row r="24" spans="1:8" x14ac:dyDescent="0.2">
      <c r="A24" s="9" t="s">
        <v>25</v>
      </c>
      <c r="B24" s="10" t="s">
        <v>24</v>
      </c>
      <c r="C24" s="10" t="s">
        <v>31</v>
      </c>
      <c r="D24" t="s">
        <v>33</v>
      </c>
      <c r="E24" t="s">
        <v>40</v>
      </c>
      <c r="F24" t="s">
        <v>37</v>
      </c>
      <c r="G24" t="s">
        <v>34</v>
      </c>
      <c r="H24" t="s">
        <v>38</v>
      </c>
    </row>
    <row r="25" spans="1:8" x14ac:dyDescent="0.2">
      <c r="A25" s="11" t="s">
        <v>10</v>
      </c>
      <c r="B25" s="12">
        <v>0.5</v>
      </c>
      <c r="C25" s="20">
        <f>'Buying Plan '!F17</f>
        <v>3.75</v>
      </c>
      <c r="D25" s="18">
        <f>B7</f>
        <v>0.15</v>
      </c>
      <c r="E25" s="18">
        <f>B4</f>
        <v>2.2000000000000002</v>
      </c>
      <c r="F25" s="18">
        <f>SUM(C25:E25)</f>
        <v>6.1</v>
      </c>
      <c r="G25" s="19">
        <f>B5</f>
        <v>0.18</v>
      </c>
      <c r="H25" s="4">
        <f>F25/(1-G25)</f>
        <v>7.4390243902439011</v>
      </c>
    </row>
    <row r="26" spans="1:8" x14ac:dyDescent="0.2">
      <c r="A26" s="13" t="s">
        <v>26</v>
      </c>
      <c r="B26" s="14">
        <v>0.25</v>
      </c>
      <c r="C26" s="21">
        <f>'Buying Plan '!F11</f>
        <v>3.5</v>
      </c>
      <c r="D26" s="18">
        <f>B7</f>
        <v>0.15</v>
      </c>
      <c r="E26" s="18">
        <f>B4</f>
        <v>2.2000000000000002</v>
      </c>
      <c r="F26" s="18">
        <f t="shared" ref="F26:F27" si="5">SUM(C26:E26)</f>
        <v>5.85</v>
      </c>
      <c r="G26" s="19">
        <f>B5</f>
        <v>0.18</v>
      </c>
      <c r="H26" s="4">
        <f t="shared" ref="H26:H27" si="6">F26/(1-G26)</f>
        <v>7.1341463414634134</v>
      </c>
    </row>
    <row r="27" spans="1:8" x14ac:dyDescent="0.2">
      <c r="A27" s="13" t="s">
        <v>9</v>
      </c>
      <c r="B27" s="14">
        <v>0.25</v>
      </c>
      <c r="C27" s="21">
        <f>'Buying Plan '!F16</f>
        <v>3.75</v>
      </c>
      <c r="D27" s="18">
        <f>B7</f>
        <v>0.15</v>
      </c>
      <c r="E27" s="18">
        <f>B4</f>
        <v>2.2000000000000002</v>
      </c>
      <c r="F27" s="18">
        <f t="shared" si="5"/>
        <v>6.1</v>
      </c>
      <c r="G27" s="19">
        <f>B5</f>
        <v>0.18</v>
      </c>
      <c r="H27" s="4">
        <f t="shared" si="6"/>
        <v>7.4390243902439011</v>
      </c>
    </row>
    <row r="28" spans="1:8" x14ac:dyDescent="0.2">
      <c r="A28" s="10" t="s">
        <v>48</v>
      </c>
      <c r="B28" s="10"/>
      <c r="C28" s="22">
        <f t="shared" ref="C28:H28" si="7">(C25*$B$25)+(C26*$B$26)+(C27*$B$27)</f>
        <v>3.6875</v>
      </c>
      <c r="D28" s="22">
        <f t="shared" si="7"/>
        <v>0.15</v>
      </c>
      <c r="E28" s="24">
        <f t="shared" si="7"/>
        <v>2.2000000000000002</v>
      </c>
      <c r="F28" s="24">
        <f t="shared" si="7"/>
        <v>6.0374999999999996</v>
      </c>
      <c r="G28" s="23">
        <f t="shared" si="7"/>
        <v>0.18</v>
      </c>
      <c r="H28" s="24">
        <f t="shared" si="7"/>
        <v>7.3628048780487791</v>
      </c>
    </row>
    <row r="29" spans="1:8" x14ac:dyDescent="0.2">
      <c r="A29" s="10"/>
      <c r="B29" s="10"/>
      <c r="C29" s="10"/>
    </row>
    <row r="30" spans="1:8" x14ac:dyDescent="0.2">
      <c r="A30" s="10"/>
      <c r="B30" s="10"/>
      <c r="C30" s="10"/>
    </row>
    <row r="31" spans="1:8" x14ac:dyDescent="0.2">
      <c r="A31" s="9" t="s">
        <v>27</v>
      </c>
      <c r="B31" s="10" t="s">
        <v>24</v>
      </c>
      <c r="C31" s="10" t="s">
        <v>31</v>
      </c>
      <c r="D31" t="s">
        <v>33</v>
      </c>
      <c r="E31" t="s">
        <v>40</v>
      </c>
      <c r="F31" t="s">
        <v>37</v>
      </c>
      <c r="G31" t="s">
        <v>34</v>
      </c>
      <c r="H31" t="s">
        <v>38</v>
      </c>
    </row>
    <row r="32" spans="1:8" x14ac:dyDescent="0.2">
      <c r="A32" s="11" t="s">
        <v>5</v>
      </c>
      <c r="B32" s="12">
        <v>0.4</v>
      </c>
      <c r="C32" s="20">
        <f>'Buying Plan '!F12</f>
        <v>3.5</v>
      </c>
      <c r="D32" s="18">
        <f>B7</f>
        <v>0.15</v>
      </c>
      <c r="E32" s="18">
        <f>B4</f>
        <v>2.2000000000000002</v>
      </c>
      <c r="F32" s="18">
        <f>SUM(C32:E32)</f>
        <v>5.85</v>
      </c>
      <c r="G32" s="19">
        <f>B5</f>
        <v>0.18</v>
      </c>
      <c r="H32" s="18">
        <f>F32/(1-G32)</f>
        <v>7.1341463414634134</v>
      </c>
    </row>
    <row r="33" spans="1:8" x14ac:dyDescent="0.2">
      <c r="A33" s="13" t="s">
        <v>28</v>
      </c>
      <c r="B33" s="14">
        <v>0.2</v>
      </c>
      <c r="C33" s="21">
        <f>'Buying Plan '!F10</f>
        <v>3.5</v>
      </c>
      <c r="D33" s="18">
        <f>B7</f>
        <v>0.15</v>
      </c>
      <c r="E33" s="18">
        <f>B4</f>
        <v>2.2000000000000002</v>
      </c>
      <c r="F33" s="18">
        <f t="shared" ref="F33:F34" si="8">SUM(C33:E33)</f>
        <v>5.85</v>
      </c>
      <c r="G33" s="19">
        <f>B5</f>
        <v>0.18</v>
      </c>
      <c r="H33" s="18">
        <f t="shared" ref="H33:H34" si="9">F33/(1-G33)</f>
        <v>7.1341463414634134</v>
      </c>
    </row>
    <row r="34" spans="1:8" x14ac:dyDescent="0.2">
      <c r="A34" s="13" t="s">
        <v>29</v>
      </c>
      <c r="B34" s="14">
        <v>0.4</v>
      </c>
      <c r="C34" s="21">
        <f>'Buying Plan '!F14</f>
        <v>4.5</v>
      </c>
      <c r="D34" s="18">
        <f>B7</f>
        <v>0.15</v>
      </c>
      <c r="E34" s="18">
        <f>B4</f>
        <v>2.2000000000000002</v>
      </c>
      <c r="F34" s="18">
        <f t="shared" si="8"/>
        <v>6.8500000000000005</v>
      </c>
      <c r="G34" s="19">
        <f>B5</f>
        <v>0.18</v>
      </c>
      <c r="H34" s="18">
        <f t="shared" si="9"/>
        <v>8.3536585365853657</v>
      </c>
    </row>
    <row r="35" spans="1:8" x14ac:dyDescent="0.2">
      <c r="A35" s="10" t="s">
        <v>48</v>
      </c>
      <c r="B35" s="10"/>
      <c r="C35" s="22">
        <f>(C32*$B$32)+(C33*$B$33)+(C34*$B$34)</f>
        <v>3.9000000000000004</v>
      </c>
      <c r="D35" s="22">
        <f t="shared" ref="D35:H35" si="10">(D32*$B$32)+(D33*$B$33)+(D34*$B$34)</f>
        <v>0.15</v>
      </c>
      <c r="E35" s="22">
        <f t="shared" si="10"/>
        <v>2.2000000000000002</v>
      </c>
      <c r="F35" s="22">
        <f t="shared" si="10"/>
        <v>6.25</v>
      </c>
      <c r="G35" s="23">
        <f t="shared" si="10"/>
        <v>0.18</v>
      </c>
      <c r="H35" s="22">
        <f t="shared" si="10"/>
        <v>7.6219512195121952</v>
      </c>
    </row>
    <row r="36" spans="1:8" x14ac:dyDescent="0.2">
      <c r="A36" s="10"/>
      <c r="B36" s="10"/>
      <c r="C36" s="10"/>
    </row>
    <row r="37" spans="1:8" x14ac:dyDescent="0.2">
      <c r="A37" s="10"/>
      <c r="B37" s="10"/>
      <c r="C37" s="10"/>
    </row>
    <row r="38" spans="1:8" x14ac:dyDescent="0.2">
      <c r="A38" s="9" t="s">
        <v>30</v>
      </c>
      <c r="B38" s="10" t="s">
        <v>24</v>
      </c>
      <c r="C38" s="10" t="s">
        <v>31</v>
      </c>
      <c r="D38" t="s">
        <v>33</v>
      </c>
      <c r="E38" t="s">
        <v>39</v>
      </c>
      <c r="F38" t="s">
        <v>36</v>
      </c>
      <c r="G38" t="s">
        <v>34</v>
      </c>
      <c r="H38" t="s">
        <v>38</v>
      </c>
    </row>
    <row r="39" spans="1:8" x14ac:dyDescent="0.2">
      <c r="A39" s="11" t="s">
        <v>2</v>
      </c>
      <c r="B39" s="12">
        <v>0.5</v>
      </c>
      <c r="C39" s="20">
        <f>'Buying Plan '!F9</f>
        <v>3</v>
      </c>
      <c r="D39" s="18">
        <f>B7</f>
        <v>0.15</v>
      </c>
      <c r="E39" s="18">
        <f>B4</f>
        <v>2.2000000000000002</v>
      </c>
      <c r="F39" s="18">
        <f>SUM(C39:E39)</f>
        <v>5.35</v>
      </c>
      <c r="G39" s="19">
        <f>B5</f>
        <v>0.18</v>
      </c>
      <c r="H39" s="18">
        <f>F39/(1-G39)</f>
        <v>6.5243902439024382</v>
      </c>
    </row>
    <row r="40" spans="1:8" x14ac:dyDescent="0.2">
      <c r="A40" s="13" t="s">
        <v>8</v>
      </c>
      <c r="B40" s="14">
        <v>0.5</v>
      </c>
      <c r="C40" s="21">
        <f>'Buying Plan '!F15</f>
        <v>4</v>
      </c>
      <c r="D40" s="18">
        <f>B7</f>
        <v>0.15</v>
      </c>
      <c r="E40" s="18">
        <f>B4</f>
        <v>2.2000000000000002</v>
      </c>
      <c r="F40" s="18">
        <f>SUM(C40:E40)</f>
        <v>6.3500000000000005</v>
      </c>
      <c r="G40" s="19">
        <f>B5</f>
        <v>0.18</v>
      </c>
      <c r="H40" s="18">
        <f>F40/(1-G40)</f>
        <v>7.7439024390243905</v>
      </c>
    </row>
    <row r="41" spans="1:8" x14ac:dyDescent="0.2">
      <c r="A41" s="10" t="s">
        <v>48</v>
      </c>
      <c r="B41" s="15"/>
      <c r="C41" s="22">
        <f>(C39*$B$39)+(C40*$B$40)</f>
        <v>3.5</v>
      </c>
      <c r="D41" s="22">
        <f t="shared" ref="D41:H41" si="11">(D39*$B$39)+(D40*$B$40)</f>
        <v>0.15</v>
      </c>
      <c r="E41" s="22">
        <f t="shared" si="11"/>
        <v>2.2000000000000002</v>
      </c>
      <c r="F41" s="22">
        <f t="shared" si="11"/>
        <v>5.85</v>
      </c>
      <c r="G41" s="23">
        <f t="shared" si="11"/>
        <v>0.18</v>
      </c>
      <c r="H41" s="22">
        <f t="shared" si="11"/>
        <v>7.1341463414634143</v>
      </c>
    </row>
    <row r="42" spans="1:8" x14ac:dyDescent="0.2">
      <c r="A42" s="10"/>
      <c r="B42" s="15"/>
      <c r="C42" s="10"/>
    </row>
    <row r="43" spans="1:8" x14ac:dyDescent="0.2">
      <c r="A43" s="10"/>
      <c r="B43" s="10"/>
      <c r="C43" s="10"/>
    </row>
    <row r="44" spans="1:8" x14ac:dyDescent="0.2">
      <c r="A44" s="9" t="s">
        <v>11</v>
      </c>
      <c r="B44" s="10" t="s">
        <v>24</v>
      </c>
      <c r="C44" s="10" t="s">
        <v>31</v>
      </c>
      <c r="D44" t="s">
        <v>33</v>
      </c>
      <c r="E44" t="s">
        <v>40</v>
      </c>
      <c r="G44" t="s">
        <v>34</v>
      </c>
      <c r="H44" t="s">
        <v>35</v>
      </c>
    </row>
    <row r="45" spans="1:8" x14ac:dyDescent="0.2">
      <c r="A45" s="11" t="s">
        <v>11</v>
      </c>
      <c r="B45" s="12">
        <v>1</v>
      </c>
      <c r="C45" s="20">
        <f>'Buying Plan '!F18</f>
        <v>4</v>
      </c>
      <c r="D45" s="18">
        <f>B7</f>
        <v>0.15</v>
      </c>
      <c r="E45" s="18">
        <f>B4</f>
        <v>2.2000000000000002</v>
      </c>
      <c r="F45" s="18">
        <f>SUM(C45:E45)</f>
        <v>6.3500000000000005</v>
      </c>
      <c r="G45" s="19">
        <f>B5</f>
        <v>0.18</v>
      </c>
      <c r="H45" s="18">
        <f>F45/(1-G45)</f>
        <v>7.7439024390243905</v>
      </c>
    </row>
    <row r="46" spans="1:8" x14ac:dyDescent="0.2">
      <c r="A46" s="10" t="s">
        <v>48</v>
      </c>
      <c r="B46" s="10"/>
      <c r="C46" s="22">
        <f>(C45*$B$45)</f>
        <v>4</v>
      </c>
      <c r="D46" s="22">
        <f t="shared" ref="D46:H46" si="12">(D45*$B$45)</f>
        <v>0.15</v>
      </c>
      <c r="E46" s="22">
        <f t="shared" si="12"/>
        <v>2.2000000000000002</v>
      </c>
      <c r="F46" s="22">
        <f t="shared" si="12"/>
        <v>6.3500000000000005</v>
      </c>
      <c r="G46" s="23">
        <f t="shared" si="12"/>
        <v>0.18</v>
      </c>
      <c r="H46" s="22">
        <f t="shared" si="12"/>
        <v>7.7439024390243905</v>
      </c>
    </row>
    <row r="47" spans="1:8" x14ac:dyDescent="0.2">
      <c r="A47" s="10"/>
      <c r="B47" s="10"/>
      <c r="C47" s="10"/>
    </row>
  </sheetData>
  <conditionalFormatting sqref="E10:E14">
    <cfRule type="cellIs" dxfId="3" priority="1" operator="lessThanOrEqual">
      <formula>$B$6</formula>
    </cfRule>
    <cfRule type="cellIs" dxfId="2" priority="2" operator="greaterThan">
      <formula>$B$6</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C0972-42F2-D745-9C34-11B9F5AC17D6}">
  <dimension ref="A1:H180"/>
  <sheetViews>
    <sheetView workbookViewId="0">
      <selection activeCell="B19" sqref="B19"/>
    </sheetView>
  </sheetViews>
  <sheetFormatPr baseColWidth="10" defaultRowHeight="16" x14ac:dyDescent="0.2"/>
  <cols>
    <col min="1" max="1" width="37.1640625" customWidth="1"/>
    <col min="2" max="8" width="25.83203125" customWidth="1"/>
  </cols>
  <sheetData>
    <row r="1" spans="1:5" x14ac:dyDescent="0.2">
      <c r="A1" s="2" t="s">
        <v>56</v>
      </c>
    </row>
    <row r="2" spans="1:5" x14ac:dyDescent="0.2">
      <c r="A2" s="2"/>
    </row>
    <row r="3" spans="1:5" x14ac:dyDescent="0.2">
      <c r="A3" s="2" t="s">
        <v>43</v>
      </c>
    </row>
    <row r="4" spans="1:5" x14ac:dyDescent="0.2">
      <c r="A4" t="s">
        <v>18</v>
      </c>
      <c r="B4" s="7">
        <v>2.2000000000000002</v>
      </c>
    </row>
    <row r="5" spans="1:5" x14ac:dyDescent="0.2">
      <c r="A5" t="s">
        <v>34</v>
      </c>
      <c r="B5" s="8">
        <v>0.18</v>
      </c>
    </row>
    <row r="6" spans="1:5" x14ac:dyDescent="0.2">
      <c r="A6" t="s">
        <v>58</v>
      </c>
      <c r="B6" s="8">
        <v>0.5</v>
      </c>
    </row>
    <row r="7" spans="1:5" x14ac:dyDescent="0.2">
      <c r="A7" t="s">
        <v>32</v>
      </c>
      <c r="B7" s="7">
        <v>0.15</v>
      </c>
    </row>
    <row r="8" spans="1:5" x14ac:dyDescent="0.2">
      <c r="B8" s="7"/>
    </row>
    <row r="9" spans="1:5" x14ac:dyDescent="0.2">
      <c r="A9" s="2" t="s">
        <v>57</v>
      </c>
      <c r="B9" s="16" t="s">
        <v>45</v>
      </c>
      <c r="C9" t="s">
        <v>46</v>
      </c>
      <c r="D9" t="s">
        <v>59</v>
      </c>
      <c r="E9" t="s">
        <v>60</v>
      </c>
    </row>
    <row r="10" spans="1:5" x14ac:dyDescent="0.2">
      <c r="A10" t="s">
        <v>50</v>
      </c>
      <c r="B10" s="7">
        <v>20</v>
      </c>
      <c r="C10" s="25">
        <f>G18</f>
        <v>9.3902439024390247</v>
      </c>
      <c r="D10" s="25">
        <f>B10-C10</f>
        <v>10.609756097560975</v>
      </c>
      <c r="E10" s="8">
        <f>D10/B10</f>
        <v>0.53048780487804881</v>
      </c>
    </row>
    <row r="11" spans="1:5" x14ac:dyDescent="0.2">
      <c r="A11" t="s">
        <v>51</v>
      </c>
      <c r="B11" s="7">
        <v>20</v>
      </c>
      <c r="C11" s="25">
        <f t="shared" ref="C11:C13" si="0">G19</f>
        <v>8.6585365853658534</v>
      </c>
      <c r="D11" s="25">
        <f t="shared" ref="D11:D13" si="1">B11-C11</f>
        <v>11.341463414634147</v>
      </c>
      <c r="E11" s="8">
        <f t="shared" ref="E11:E13" si="2">D11/B11</f>
        <v>0.56707317073170738</v>
      </c>
    </row>
    <row r="12" spans="1:5" x14ac:dyDescent="0.2">
      <c r="A12" t="s">
        <v>52</v>
      </c>
      <c r="B12" s="7">
        <v>20</v>
      </c>
      <c r="C12" s="25">
        <f t="shared" si="0"/>
        <v>9.2682926829268286</v>
      </c>
      <c r="D12" s="25">
        <f t="shared" si="1"/>
        <v>10.731707317073171</v>
      </c>
      <c r="E12" s="8">
        <f t="shared" si="2"/>
        <v>0.53658536585365857</v>
      </c>
    </row>
    <row r="13" spans="1:5" x14ac:dyDescent="0.2">
      <c r="A13" t="s">
        <v>53</v>
      </c>
      <c r="B13" s="7">
        <v>20</v>
      </c>
      <c r="C13" s="25">
        <f t="shared" si="0"/>
        <v>9.9390243902439028</v>
      </c>
      <c r="D13" s="25">
        <f t="shared" si="1"/>
        <v>10.060975609756097</v>
      </c>
      <c r="E13" s="8">
        <f t="shared" si="2"/>
        <v>0.50304878048780488</v>
      </c>
    </row>
    <row r="14" spans="1:5" x14ac:dyDescent="0.2">
      <c r="B14" s="7"/>
      <c r="C14" s="25"/>
      <c r="D14" s="25"/>
      <c r="E14" s="8"/>
    </row>
    <row r="15" spans="1:5" x14ac:dyDescent="0.2">
      <c r="A15" s="9"/>
      <c r="B15" s="10"/>
      <c r="C15" s="10"/>
    </row>
    <row r="16" spans="1:5" x14ac:dyDescent="0.2">
      <c r="A16" s="9"/>
      <c r="B16" s="10"/>
      <c r="C16" s="10"/>
    </row>
    <row r="17" spans="1:8" x14ac:dyDescent="0.2">
      <c r="A17" s="9" t="s">
        <v>54</v>
      </c>
      <c r="B17" s="10" t="s">
        <v>31</v>
      </c>
      <c r="C17" t="s">
        <v>33</v>
      </c>
      <c r="D17" t="s">
        <v>40</v>
      </c>
      <c r="E17" t="s">
        <v>36</v>
      </c>
      <c r="F17" t="s">
        <v>34</v>
      </c>
      <c r="G17" t="s">
        <v>38</v>
      </c>
    </row>
    <row r="18" spans="1:8" x14ac:dyDescent="0.2">
      <c r="A18" s="11" t="s">
        <v>13</v>
      </c>
      <c r="B18" s="31">
        <v>5.35</v>
      </c>
      <c r="C18" s="31">
        <f>$B$7</f>
        <v>0.15</v>
      </c>
      <c r="D18" s="18">
        <f>$B$4</f>
        <v>2.2000000000000002</v>
      </c>
      <c r="E18" s="18">
        <f>SUM(B18:D18)</f>
        <v>7.7</v>
      </c>
      <c r="F18" s="19">
        <f>$B$5</f>
        <v>0.18</v>
      </c>
      <c r="G18" s="4">
        <f>E18/(1-F18)</f>
        <v>9.3902439024390247</v>
      </c>
      <c r="H18" s="7"/>
    </row>
    <row r="19" spans="1:8" x14ac:dyDescent="0.2">
      <c r="A19" s="11" t="s">
        <v>14</v>
      </c>
      <c r="B19" s="31">
        <f>'Buying Plan '!F23</f>
        <v>4.75</v>
      </c>
      <c r="C19" s="31">
        <f t="shared" ref="C19:C21" si="3">$B$7</f>
        <v>0.15</v>
      </c>
      <c r="D19" s="18">
        <f t="shared" ref="D19:D21" si="4">$B$4</f>
        <v>2.2000000000000002</v>
      </c>
      <c r="E19" s="18">
        <f t="shared" ref="E19:E21" si="5">SUM(B19:D19)</f>
        <v>7.1000000000000005</v>
      </c>
      <c r="F19" s="19">
        <f t="shared" ref="F19:F21" si="6">$B$5</f>
        <v>0.18</v>
      </c>
      <c r="G19" s="4">
        <f t="shared" ref="G19:G21" si="7">E19/(1-F19)</f>
        <v>8.6585365853658534</v>
      </c>
      <c r="H19" s="7"/>
    </row>
    <row r="20" spans="1:8" x14ac:dyDescent="0.2">
      <c r="A20" s="11" t="s">
        <v>52</v>
      </c>
      <c r="B20" s="31">
        <f>'Buying Plan '!F24</f>
        <v>5.25</v>
      </c>
      <c r="C20" s="31">
        <f t="shared" si="3"/>
        <v>0.15</v>
      </c>
      <c r="D20" s="18">
        <f t="shared" si="4"/>
        <v>2.2000000000000002</v>
      </c>
      <c r="E20" s="18">
        <f t="shared" si="5"/>
        <v>7.6000000000000005</v>
      </c>
      <c r="F20" s="19">
        <f t="shared" si="6"/>
        <v>0.18</v>
      </c>
      <c r="G20" s="4">
        <f t="shared" si="7"/>
        <v>9.2682926829268286</v>
      </c>
      <c r="H20" s="7"/>
    </row>
    <row r="21" spans="1:8" x14ac:dyDescent="0.2">
      <c r="A21" s="11" t="s">
        <v>53</v>
      </c>
      <c r="B21" s="31">
        <f>'Buying Plan '!F25</f>
        <v>5.8</v>
      </c>
      <c r="C21" s="31">
        <f t="shared" si="3"/>
        <v>0.15</v>
      </c>
      <c r="D21" s="18">
        <f t="shared" si="4"/>
        <v>2.2000000000000002</v>
      </c>
      <c r="E21" s="18">
        <f t="shared" si="5"/>
        <v>8.15</v>
      </c>
      <c r="F21" s="19">
        <f t="shared" si="6"/>
        <v>0.18</v>
      </c>
      <c r="G21" s="4">
        <f t="shared" si="7"/>
        <v>9.9390243902439028</v>
      </c>
      <c r="H21" s="28"/>
    </row>
    <row r="22" spans="1:8" x14ac:dyDescent="0.2">
      <c r="A22" s="10"/>
      <c r="B22" s="10"/>
      <c r="C22" s="10"/>
    </row>
    <row r="23" spans="1:8" x14ac:dyDescent="0.2">
      <c r="A23" s="10"/>
      <c r="B23" s="10"/>
      <c r="C23" s="10"/>
    </row>
    <row r="24" spans="1:8" x14ac:dyDescent="0.2">
      <c r="A24" s="9"/>
      <c r="B24" s="10"/>
      <c r="C24" s="10"/>
    </row>
    <row r="25" spans="1:8" x14ac:dyDescent="0.2">
      <c r="A25" s="10"/>
      <c r="B25" s="15"/>
      <c r="C25" s="28"/>
      <c r="D25" s="25"/>
      <c r="E25" s="25"/>
      <c r="F25" s="25"/>
      <c r="G25" s="29"/>
      <c r="H25" s="7"/>
    </row>
    <row r="26" spans="1:8" x14ac:dyDescent="0.2">
      <c r="A26" s="10"/>
      <c r="B26" s="15"/>
      <c r="C26" s="28"/>
      <c r="D26" s="25"/>
      <c r="E26" s="25"/>
      <c r="F26" s="25"/>
      <c r="G26" s="29"/>
      <c r="H26" s="7"/>
    </row>
    <row r="27" spans="1:8" x14ac:dyDescent="0.2">
      <c r="A27" s="10"/>
      <c r="B27" s="15"/>
      <c r="C27" s="28"/>
      <c r="D27" s="25"/>
      <c r="E27" s="25"/>
      <c r="F27" s="25"/>
      <c r="G27" s="29"/>
      <c r="H27" s="7"/>
    </row>
    <row r="28" spans="1:8" x14ac:dyDescent="0.2">
      <c r="A28" s="10"/>
      <c r="B28" s="10"/>
      <c r="C28" s="22"/>
      <c r="D28" s="22"/>
      <c r="E28" s="28"/>
      <c r="F28" s="28"/>
      <c r="G28" s="30"/>
      <c r="H28" s="28"/>
    </row>
    <row r="29" spans="1:8" x14ac:dyDescent="0.2">
      <c r="A29" s="10"/>
      <c r="B29" s="10"/>
      <c r="C29" s="10"/>
    </row>
    <row r="30" spans="1:8" x14ac:dyDescent="0.2">
      <c r="A30" s="10"/>
      <c r="B30" s="10"/>
      <c r="C30" s="10"/>
    </row>
    <row r="31" spans="1:8" x14ac:dyDescent="0.2">
      <c r="A31" s="9"/>
      <c r="B31" s="10"/>
      <c r="C31" s="10"/>
    </row>
    <row r="32" spans="1:8" x14ac:dyDescent="0.2">
      <c r="A32" s="10"/>
      <c r="B32" s="15"/>
      <c r="C32" s="28"/>
      <c r="D32" s="25"/>
      <c r="E32" s="25"/>
      <c r="F32" s="25"/>
      <c r="G32" s="29"/>
      <c r="H32" s="25"/>
    </row>
    <row r="33" spans="1:8" x14ac:dyDescent="0.2">
      <c r="A33" s="10"/>
      <c r="B33" s="15"/>
      <c r="C33" s="28"/>
      <c r="D33" s="25"/>
      <c r="E33" s="25"/>
      <c r="F33" s="25"/>
      <c r="G33" s="29"/>
      <c r="H33" s="25"/>
    </row>
    <row r="34" spans="1:8" x14ac:dyDescent="0.2">
      <c r="A34" s="10"/>
      <c r="B34" s="15"/>
      <c r="C34" s="28"/>
      <c r="D34" s="25"/>
      <c r="E34" s="25"/>
      <c r="F34" s="25"/>
      <c r="G34" s="29"/>
      <c r="H34" s="25"/>
    </row>
    <row r="35" spans="1:8" x14ac:dyDescent="0.2">
      <c r="A35" s="10"/>
      <c r="B35" s="10"/>
      <c r="C35" s="22"/>
      <c r="D35" s="22"/>
      <c r="E35" s="22"/>
      <c r="F35" s="22"/>
      <c r="G35" s="30"/>
      <c r="H35" s="22"/>
    </row>
    <row r="36" spans="1:8" x14ac:dyDescent="0.2">
      <c r="A36" s="10"/>
      <c r="B36" s="10"/>
      <c r="C36" s="10"/>
    </row>
    <row r="37" spans="1:8" x14ac:dyDescent="0.2">
      <c r="A37" s="10"/>
      <c r="B37" s="10"/>
      <c r="C37" s="10"/>
    </row>
    <row r="38" spans="1:8" x14ac:dyDescent="0.2">
      <c r="A38" s="9"/>
      <c r="B38" s="10"/>
      <c r="C38" s="10"/>
    </row>
    <row r="39" spans="1:8" x14ac:dyDescent="0.2">
      <c r="A39" s="10"/>
      <c r="B39" s="15"/>
      <c r="C39" s="28"/>
      <c r="D39" s="25"/>
      <c r="E39" s="25"/>
      <c r="F39" s="25"/>
      <c r="G39" s="29"/>
      <c r="H39" s="25"/>
    </row>
    <row r="40" spans="1:8" x14ac:dyDescent="0.2">
      <c r="A40" s="10"/>
      <c r="B40" s="15"/>
      <c r="C40" s="28"/>
      <c r="D40" s="25"/>
      <c r="E40" s="25"/>
      <c r="F40" s="25"/>
      <c r="G40" s="29"/>
      <c r="H40" s="25"/>
    </row>
    <row r="41" spans="1:8" x14ac:dyDescent="0.2">
      <c r="A41" s="10"/>
      <c r="B41" s="15"/>
      <c r="C41" s="22"/>
      <c r="D41" s="22"/>
      <c r="E41" s="22"/>
      <c r="F41" s="22"/>
      <c r="G41" s="30"/>
      <c r="H41" s="22"/>
    </row>
    <row r="42" spans="1:8" x14ac:dyDescent="0.2">
      <c r="A42" s="10"/>
      <c r="B42" s="15"/>
      <c r="C42" s="10"/>
    </row>
    <row r="43" spans="1:8" x14ac:dyDescent="0.2">
      <c r="A43" s="10"/>
      <c r="B43" s="10"/>
      <c r="C43" s="10"/>
    </row>
    <row r="44" spans="1:8" x14ac:dyDescent="0.2">
      <c r="A44" s="9"/>
      <c r="B44" s="10"/>
      <c r="C44" s="10"/>
    </row>
    <row r="45" spans="1:8" x14ac:dyDescent="0.2">
      <c r="A45" s="10"/>
      <c r="B45" s="15"/>
      <c r="C45" s="28"/>
      <c r="D45" s="25"/>
      <c r="E45" s="25"/>
      <c r="F45" s="25"/>
      <c r="G45" s="29"/>
      <c r="H45" s="25"/>
    </row>
    <row r="46" spans="1:8" x14ac:dyDescent="0.2">
      <c r="A46" s="10"/>
      <c r="B46" s="10"/>
      <c r="C46" s="22"/>
      <c r="D46" s="22"/>
      <c r="E46" s="22"/>
      <c r="F46" s="22"/>
      <c r="G46" s="30"/>
      <c r="H46" s="22"/>
    </row>
    <row r="47" spans="1:8" x14ac:dyDescent="0.2">
      <c r="A47" s="10"/>
      <c r="B47" s="10"/>
      <c r="C47" s="10"/>
    </row>
    <row r="180" spans="2:2" x14ac:dyDescent="0.2">
      <c r="B180">
        <v>-335544.32000000001</v>
      </c>
    </row>
  </sheetData>
  <conditionalFormatting sqref="E10:E13">
    <cfRule type="cellIs" dxfId="1" priority="1" operator="lessThanOrEqual">
      <formula>$B$6</formula>
    </cfRule>
    <cfRule type="cellIs" dxfId="0" priority="2" operator="greaterThan">
      <formula>$B$6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Buying Plan Notes</vt:lpstr>
      <vt:lpstr>Buying Plan </vt:lpstr>
      <vt:lpstr>Blends Gross Margin Calcs</vt:lpstr>
      <vt:lpstr>SO Gross Margin Calcs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Irving Farm</dc:creator>
  <cp:lastModifiedBy>Efficiency for Sustainability </cp:lastModifiedBy>
  <dcterms:created xsi:type="dcterms:W3CDTF">2023-05-24T16:49:07Z</dcterms:created>
  <dcterms:modified xsi:type="dcterms:W3CDTF">2023-08-07T22:34:21Z</dcterms:modified>
</cp:coreProperties>
</file>