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9"/>
  <workbookPr defaultThemeVersion="166925"/>
  <mc:AlternateContent xmlns:mc="http://schemas.openxmlformats.org/markup-compatibility/2006">
    <mc:Choice Requires="x15">
      <x15ac:absPath xmlns:x15ac="http://schemas.microsoft.com/office/spreadsheetml/2010/11/ac" url="/Users/EFS/Downloads/"/>
    </mc:Choice>
  </mc:AlternateContent>
  <xr:revisionPtr revIDLastSave="0" documentId="13_ncr:1_{71C6F7E7-6200-4D41-9AD1-D7A3D6DE1E9E}" xr6:coauthVersionLast="47" xr6:coauthVersionMax="47" xr10:uidLastSave="{00000000-0000-0000-0000-000000000000}"/>
  <bookViews>
    <workbookView xWindow="4860" yWindow="1200" windowWidth="27980" windowHeight="17640" xr2:uid="{C885BD7A-1ED7-F647-B642-8CD654C587B5}"/>
  </bookViews>
  <sheets>
    <sheet name="Cost of Production Notes" sheetId="2" r:id="rId1"/>
    <sheet name="Cost of Production Analysis " sheetId="1" r:id="rId2"/>
    <sheet name="Blends Gross Margin Calculator " sheetId="3" r:id="rId3"/>
    <sheet name="SO Gorss Margin Calculator" sheetId="4"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 i="4" l="1"/>
  <c r="D21" i="4"/>
  <c r="C21" i="4"/>
  <c r="B21" i="4"/>
  <c r="E21" i="4" s="1"/>
  <c r="G21" i="4" s="1"/>
  <c r="C13" i="4" s="1"/>
  <c r="D13" i="4" s="1"/>
  <c r="E13" i="4" s="1"/>
  <c r="F20" i="4"/>
  <c r="D20" i="4"/>
  <c r="E20" i="4" s="1"/>
  <c r="G20" i="4" s="1"/>
  <c r="C12" i="4" s="1"/>
  <c r="D12" i="4" s="1"/>
  <c r="E12" i="4" s="1"/>
  <c r="C20" i="4"/>
  <c r="B20" i="4"/>
  <c r="F19" i="4"/>
  <c r="D19" i="4"/>
  <c r="C19" i="4"/>
  <c r="B19" i="4"/>
  <c r="E19" i="4" s="1"/>
  <c r="G19" i="4" s="1"/>
  <c r="C11" i="4" s="1"/>
  <c r="D11" i="4" s="1"/>
  <c r="E11" i="4" s="1"/>
  <c r="F18" i="4"/>
  <c r="D18" i="4"/>
  <c r="E18" i="4" s="1"/>
  <c r="G18" i="4" s="1"/>
  <c r="C10" i="4" s="1"/>
  <c r="D10" i="4" s="1"/>
  <c r="E10" i="4" s="1"/>
  <c r="C18" i="4"/>
  <c r="E46" i="3"/>
  <c r="G45" i="3"/>
  <c r="G46" i="3" s="1"/>
  <c r="E45" i="3"/>
  <c r="D45" i="3"/>
  <c r="D46" i="3" s="1"/>
  <c r="C45" i="3"/>
  <c r="F45" i="3" s="1"/>
  <c r="G40" i="3"/>
  <c r="E40" i="3"/>
  <c r="D40" i="3"/>
  <c r="C40" i="3"/>
  <c r="F40" i="3" s="1"/>
  <c r="H40" i="3" s="1"/>
  <c r="G39" i="3"/>
  <c r="G41" i="3" s="1"/>
  <c r="E39" i="3"/>
  <c r="F39" i="3" s="1"/>
  <c r="D39" i="3"/>
  <c r="D41" i="3" s="1"/>
  <c r="C39" i="3"/>
  <c r="C41" i="3" s="1"/>
  <c r="G34" i="3"/>
  <c r="E34" i="3"/>
  <c r="F34" i="3" s="1"/>
  <c r="H34" i="3" s="1"/>
  <c r="D34" i="3"/>
  <c r="C34" i="3"/>
  <c r="G33" i="3"/>
  <c r="G35" i="3" s="1"/>
  <c r="E33" i="3"/>
  <c r="D33" i="3"/>
  <c r="D35" i="3" s="1"/>
  <c r="C33" i="3"/>
  <c r="F33" i="3" s="1"/>
  <c r="H33" i="3" s="1"/>
  <c r="G32" i="3"/>
  <c r="E32" i="3"/>
  <c r="F32" i="3" s="1"/>
  <c r="D32" i="3"/>
  <c r="C32" i="3"/>
  <c r="G27" i="3"/>
  <c r="E27" i="3"/>
  <c r="F27" i="3" s="1"/>
  <c r="H27" i="3" s="1"/>
  <c r="D27" i="3"/>
  <c r="C27" i="3"/>
  <c r="G26" i="3"/>
  <c r="G28" i="3" s="1"/>
  <c r="E26" i="3"/>
  <c r="D26" i="3"/>
  <c r="D28" i="3" s="1"/>
  <c r="C26" i="3"/>
  <c r="F26" i="3" s="1"/>
  <c r="H26" i="3" s="1"/>
  <c r="G25" i="3"/>
  <c r="E25" i="3"/>
  <c r="E28" i="3" s="1"/>
  <c r="D25" i="3"/>
  <c r="C25" i="3"/>
  <c r="G20" i="3"/>
  <c r="E20" i="3"/>
  <c r="F20" i="3" s="1"/>
  <c r="H20" i="3" s="1"/>
  <c r="D20" i="3"/>
  <c r="C20" i="3"/>
  <c r="G19" i="3"/>
  <c r="G21" i="3" s="1"/>
  <c r="E19" i="3"/>
  <c r="D19" i="3"/>
  <c r="D21" i="3" s="1"/>
  <c r="C19" i="3"/>
  <c r="F19" i="3" s="1"/>
  <c r="H19" i="3" s="1"/>
  <c r="G18" i="3"/>
  <c r="E18" i="3"/>
  <c r="E21" i="3" s="1"/>
  <c r="D18" i="3"/>
  <c r="H39" i="3" l="1"/>
  <c r="H41" i="3" s="1"/>
  <c r="C13" i="3" s="1"/>
  <c r="D13" i="3" s="1"/>
  <c r="E13" i="3" s="1"/>
  <c r="F41" i="3"/>
  <c r="H45" i="3"/>
  <c r="H46" i="3" s="1"/>
  <c r="C14" i="3" s="1"/>
  <c r="D14" i="3" s="1"/>
  <c r="E14" i="3" s="1"/>
  <c r="F46" i="3"/>
  <c r="F35" i="3"/>
  <c r="H32" i="3"/>
  <c r="H35" i="3" s="1"/>
  <c r="C12" i="3" s="1"/>
  <c r="D12" i="3" s="1"/>
  <c r="E12" i="3" s="1"/>
  <c r="E41" i="3"/>
  <c r="F18" i="3"/>
  <c r="F25" i="3"/>
  <c r="E35" i="3"/>
  <c r="C46" i="3"/>
  <c r="C21" i="3"/>
  <c r="C28" i="3"/>
  <c r="C35" i="3"/>
  <c r="F21" i="3" l="1"/>
  <c r="H18" i="3"/>
  <c r="H21" i="3" s="1"/>
  <c r="C10" i="3" s="1"/>
  <c r="D10" i="3" s="1"/>
  <c r="E10" i="3" s="1"/>
  <c r="F28" i="3"/>
  <c r="H25" i="3"/>
  <c r="H28" i="3" s="1"/>
  <c r="C11" i="3" s="1"/>
  <c r="D11" i="3" s="1"/>
  <c r="E11" i="3" s="1"/>
  <c r="B35" i="1" l="1"/>
  <c r="E17" i="1"/>
  <c r="B32" i="1"/>
  <c r="B24" i="1"/>
  <c r="A2" i="1"/>
  <c r="B34" i="1" l="1"/>
  <c r="B36" i="1" s="1"/>
  <c r="B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Efficiency for Sustainability </author>
  </authors>
  <commentList>
    <comment ref="B4" authorId="0" shapeId="0" xr:uid="{0E5B870F-0CF5-7240-8927-8DA2B0D02392}">
      <text>
        <r>
          <rPr>
            <sz val="12"/>
            <color rgb="FF000000"/>
            <rFont val="Calibri"/>
            <family val="2"/>
          </rPr>
          <t>This figure comes from the Cost of Production tab</t>
        </r>
        <r>
          <rPr>
            <b/>
            <sz val="12"/>
            <color rgb="FF7F7F7F"/>
            <rFont val="Calibri"/>
            <family val="2"/>
          </rPr>
          <t xml:space="preserve">.
</t>
        </r>
        <r>
          <rPr>
            <i/>
            <sz val="12"/>
            <color rgb="FF7F7F7F"/>
            <rFont val="Calibri"/>
            <family val="2"/>
          </rPr>
          <t xml:space="preserve">
</t>
        </r>
      </text>
    </comment>
    <comment ref="B5" authorId="0" shapeId="0" xr:uid="{6BC8E1BB-6013-A44F-911B-B9D660EFBE94}">
      <text>
        <r>
          <rPr>
            <sz val="12"/>
            <color rgb="FF000000"/>
            <rFont val="Calibri"/>
            <family val="2"/>
          </rPr>
          <t xml:space="preserve">The % of coffee weight lost during roasting will vary between roasters and coffees and is easily caluculated by weighing coffee before and after it is roasted. 
</t>
        </r>
        <r>
          <rPr>
            <sz val="12"/>
            <color rgb="FF000000"/>
            <rFont val="Calibri"/>
            <family val="2"/>
          </rPr>
          <t xml:space="preserve">
</t>
        </r>
        <r>
          <rPr>
            <sz val="12"/>
            <color rgb="FF000000"/>
            <rFont val="Calibri"/>
            <family val="2"/>
          </rPr>
          <t xml:space="preserve">It can be a good idea to add some buffer on top of estimated % weight loss to account for coffee that gets wasted, spilled on the ground, is roasted imporperly, etc. </t>
        </r>
      </text>
    </comment>
    <comment ref="B6" authorId="0" shapeId="0" xr:uid="{D7172640-B1C6-8D4A-AE5F-AD270F6F9430}">
      <text>
        <r>
          <rPr>
            <sz val="12"/>
            <color rgb="FF000000"/>
            <rFont val="Calibri"/>
            <family val="2"/>
          </rPr>
          <t xml:space="preserve">The actual Gross Margin % will change based on the price that coffee is being sold at. This spreadsheet assumes that all of the coffee is being sold to a single customer at the same price. 
</t>
        </r>
        <r>
          <rPr>
            <sz val="12"/>
            <color rgb="FF000000"/>
            <rFont val="Calibri"/>
            <family val="2"/>
          </rPr>
          <t xml:space="preserve">
</t>
        </r>
        <r>
          <rPr>
            <sz val="12"/>
            <color rgb="FF000000"/>
            <rFont val="Calibri"/>
            <family val="2"/>
          </rPr>
          <t xml:space="preserve">Setting a Gross margin % Target will depend greatly on the type of coffee business that and 50% is not meant to be a guideline for setting a target.  </t>
        </r>
      </text>
    </comment>
    <comment ref="B7" authorId="0" shapeId="0" xr:uid="{E0DF9308-8CA5-9945-BBF5-5AF73E08AAB8}">
      <text>
        <r>
          <rPr>
            <sz val="10"/>
            <color rgb="FF000000"/>
            <rFont val="Tahoma"/>
            <family val="2"/>
          </rPr>
          <t xml:space="preserve">Domestic Freight is calculated by dividing the total cost of moving coffee from EXW to the roastery by the total number of pounds moved. 
</t>
        </r>
        <r>
          <rPr>
            <sz val="10"/>
            <color rgb="FF000000"/>
            <rFont val="Tahoma"/>
            <family val="2"/>
          </rPr>
          <t xml:space="preserve">
</t>
        </r>
        <r>
          <rPr>
            <sz val="10"/>
            <color rgb="FF000000"/>
            <rFont val="Tahoma"/>
            <family val="2"/>
          </rPr>
          <t>This figure will vary greatly between roasters.</t>
        </r>
      </text>
    </comment>
    <comment ref="C9" authorId="0" shapeId="0" xr:uid="{C2F998FD-7AC9-354D-8F07-A54492A501D1}">
      <text>
        <r>
          <rPr>
            <sz val="12"/>
            <color rgb="FF000000"/>
            <rFont val="Calibri"/>
            <family val="2"/>
          </rPr>
          <t xml:space="preserve">Green Coffee Price + Cost of Domestic Freight Per lb + Cost of production per lb - Coffee lost during roasting = Fully Loaded Cost </t>
        </r>
      </text>
    </comment>
    <comment ref="E9" authorId="0" shapeId="0" xr:uid="{C7111ACC-1421-084F-8F58-67A0BCA020CE}">
      <text>
        <r>
          <rPr>
            <sz val="12"/>
            <color rgb="FF000000"/>
            <rFont val="Calibri"/>
            <family val="2"/>
          </rPr>
          <t xml:space="preserve">Gross Margin % is the percentage of the sale price that becomes Gross Profit.
</t>
        </r>
      </text>
    </comment>
  </commentList>
</comments>
</file>

<file path=xl/sharedStrings.xml><?xml version="1.0" encoding="utf-8"?>
<sst xmlns="http://schemas.openxmlformats.org/spreadsheetml/2006/main" count="130" uniqueCount="80">
  <si>
    <t>Example Coffee Company Simple Cost of Production Analysis</t>
  </si>
  <si>
    <t xml:space="preserve">Rent / Mortgage </t>
  </si>
  <si>
    <t>Insurance</t>
  </si>
  <si>
    <t>Average Monhtly Payroll</t>
  </si>
  <si>
    <t>Average Montly Electric Bill</t>
  </si>
  <si>
    <t>Average Monthly Gas Bill</t>
  </si>
  <si>
    <t>Average Monthly Water Bill</t>
  </si>
  <si>
    <t>Bag</t>
  </si>
  <si>
    <t>Sticker</t>
  </si>
  <si>
    <t>Annual Maintenance Charges</t>
  </si>
  <si>
    <t>Annual Organic Incpsection</t>
  </si>
  <si>
    <t xml:space="preserve">Monthly Costs </t>
  </si>
  <si>
    <t xml:space="preserve">Annual Costs </t>
  </si>
  <si>
    <t xml:space="preserve">Sum Monthly Overhead Costs </t>
  </si>
  <si>
    <t>Roaster parts</t>
  </si>
  <si>
    <t xml:space="preserve">Equipment expenses </t>
  </si>
  <si>
    <t xml:space="preserve">Annual Volume </t>
  </si>
  <si>
    <t xml:space="preserve">Sum Annual Overhead Costs </t>
  </si>
  <si>
    <t xml:space="preserve">Misc. Roastery Expenses </t>
  </si>
  <si>
    <t>Per Unit Cost of Production</t>
  </si>
  <si>
    <t xml:space="preserve">Total Annual Overhead Costs </t>
  </si>
  <si>
    <t>Total Bags of Coffee</t>
  </si>
  <si>
    <t xml:space="preserve">Overhead cost allocation per bag </t>
  </si>
  <si>
    <t>Internet Bill</t>
  </si>
  <si>
    <t>Phone Bill</t>
  </si>
  <si>
    <t>Pest Control</t>
  </si>
  <si>
    <t xml:space="preserve">1lb </t>
  </si>
  <si>
    <t xml:space="preserve">1lb bag </t>
  </si>
  <si>
    <t>1lb bag</t>
  </si>
  <si>
    <t xml:space="preserve">Variable costs per bag </t>
  </si>
  <si>
    <t>Per Unit (Variable) Costs</t>
  </si>
  <si>
    <t xml:space="preserve">Overhead (Fixed) Costs </t>
  </si>
  <si>
    <t>Blends Gross Margin Calculator</t>
  </si>
  <si>
    <t xml:space="preserve">Inputs </t>
  </si>
  <si>
    <t>Average Total Weight Loss</t>
  </si>
  <si>
    <t xml:space="preserve">Gross Margin % Target </t>
  </si>
  <si>
    <t xml:space="preserve">Average Cost of Domestic Freight per lb </t>
  </si>
  <si>
    <t xml:space="preserve">Product Gross Margins </t>
  </si>
  <si>
    <t xml:space="preserve">Sale Price </t>
  </si>
  <si>
    <t>Fully Loaded Cost</t>
  </si>
  <si>
    <t xml:space="preserve">Gross Margin </t>
  </si>
  <si>
    <t xml:space="preserve">Gross Margin % </t>
  </si>
  <si>
    <t xml:space="preserve">Espresso Blend </t>
  </si>
  <si>
    <t xml:space="preserve">Breakfast Blend </t>
  </si>
  <si>
    <t>House Blend</t>
  </si>
  <si>
    <t xml:space="preserve">Dark Roast Blend </t>
  </si>
  <si>
    <t>Decaf</t>
  </si>
  <si>
    <t>Espresso Blend</t>
  </si>
  <si>
    <t>% of Blend</t>
  </si>
  <si>
    <t xml:space="preserve">Green Coffee Price </t>
  </si>
  <si>
    <t xml:space="preserve">Domestic Freight </t>
  </si>
  <si>
    <t xml:space="preserve">Cost of Production per lb </t>
  </si>
  <si>
    <t xml:space="preserve">Total Cost per lb </t>
  </si>
  <si>
    <t xml:space="preserve">Fully Loaded Cost per lb </t>
  </si>
  <si>
    <t>Brazil</t>
  </si>
  <si>
    <t>Colombia</t>
  </si>
  <si>
    <t>Washed Ethiopia</t>
  </si>
  <si>
    <t xml:space="preserve">Weighted Average  </t>
  </si>
  <si>
    <t>Breakfast Blend</t>
  </si>
  <si>
    <t>Total Cost per lb</t>
  </si>
  <si>
    <t>Guatemala</t>
  </si>
  <si>
    <t>Honduras</t>
  </si>
  <si>
    <t>Mexico</t>
  </si>
  <si>
    <t xml:space="preserve">Weighted Average </t>
  </si>
  <si>
    <t>Peru</t>
  </si>
  <si>
    <t xml:space="preserve">Colombia </t>
  </si>
  <si>
    <t xml:space="preserve">Natural Ethiopia </t>
  </si>
  <si>
    <t>Cost of Production per lb</t>
  </si>
  <si>
    <t>Sumatra</t>
  </si>
  <si>
    <t xml:space="preserve">Decaf </t>
  </si>
  <si>
    <t xml:space="preserve">Fully Loaded Cost Per Lb </t>
  </si>
  <si>
    <t xml:space="preserve">Product gross Margins </t>
  </si>
  <si>
    <t xml:space="preserve">El Salvador </t>
  </si>
  <si>
    <t xml:space="preserve">Costa Rica </t>
  </si>
  <si>
    <t xml:space="preserve">Ecuador </t>
  </si>
  <si>
    <t>Congo</t>
  </si>
  <si>
    <t xml:space="preserve">SO Products </t>
  </si>
  <si>
    <t>El Salvador</t>
  </si>
  <si>
    <t>Costa Rica</t>
  </si>
  <si>
    <t>SO Gross Margin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</si>
</sst>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11" x14ac:knownFonts="1">
    <font>
      <sz val="12"/>
      <color theme="1"/>
      <name val="Calibri"/>
      <family val="2"/>
      <scheme val="minor"/>
    </font>
    <font>
      <sz val="12"/>
      <color theme="1"/>
      <name val="Calibri"/>
      <family val="2"/>
      <scheme val="minor"/>
    </font>
    <font>
      <b/>
      <sz val="12"/>
      <color theme="1"/>
      <name val="Calibri"/>
      <family val="2"/>
      <scheme val="minor"/>
    </font>
    <font>
      <u/>
      <sz val="12"/>
      <color theme="1"/>
      <name val="Calibri"/>
      <family val="2"/>
      <scheme val="minor"/>
    </font>
    <font>
      <u/>
      <sz val="12"/>
      <color theme="1"/>
      <name val="Calibri (Body)"/>
    </font>
    <font>
      <sz val="10"/>
      <color rgb="FF000000"/>
      <name val="Tahoma"/>
      <family val="2"/>
    </font>
    <font>
      <b/>
      <sz val="12"/>
      <color rgb="FF000000"/>
      <name val="Calibri"/>
      <family val="2"/>
      <scheme val="minor"/>
    </font>
    <font>
      <sz val="12"/>
      <color rgb="FF000000"/>
      <name val="Calibri"/>
      <family val="2"/>
      <scheme val="minor"/>
    </font>
    <font>
      <i/>
      <sz val="12"/>
      <color rgb="FF7F7F7F"/>
      <name val="Calibri"/>
      <family val="2"/>
    </font>
    <font>
      <b/>
      <sz val="12"/>
      <color rgb="FF7F7F7F"/>
      <name val="Calibri"/>
      <family val="2"/>
    </font>
    <font>
      <sz val="12"/>
      <color rgb="FF000000"/>
      <name val="Calibri"/>
      <family val="2"/>
    </font>
  </fonts>
  <fills count="2">
    <fill>
      <patternFill patternType="none"/>
    </fill>
    <fill>
      <patternFill patternType="gray125"/>
    </fill>
  </fills>
  <borders count="7">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5">
    <xf numFmtId="0" fontId="0" fillId="0" borderId="0" xfId="0"/>
    <xf numFmtId="22" fontId="0" fillId="0" borderId="0" xfId="0" applyNumberFormat="1"/>
    <xf numFmtId="0" fontId="2" fillId="0" borderId="0" xfId="0" applyFont="1"/>
    <xf numFmtId="0" fontId="3" fillId="0" borderId="0" xfId="0" applyFont="1"/>
    <xf numFmtId="0" fontId="4" fillId="0" borderId="0" xfId="0" applyFont="1"/>
    <xf numFmtId="3" fontId="0" fillId="0" borderId="0" xfId="0" applyNumberFormat="1"/>
    <xf numFmtId="44" fontId="0" fillId="0" borderId="0" xfId="1" applyFont="1"/>
    <xf numFmtId="44" fontId="0" fillId="0" borderId="0" xfId="0" applyNumberFormat="1"/>
    <xf numFmtId="44" fontId="2" fillId="0" borderId="0" xfId="0" applyNumberFormat="1" applyFont="1"/>
    <xf numFmtId="8" fontId="0" fillId="0" borderId="0" xfId="0" applyNumberFormat="1"/>
    <xf numFmtId="8" fontId="2" fillId="0" borderId="0" xfId="0" applyNumberFormat="1" applyFont="1"/>
    <xf numFmtId="0" fontId="0" fillId="0" borderId="1" xfId="0" applyBorder="1"/>
    <xf numFmtId="44" fontId="0" fillId="0" borderId="2" xfId="0" applyNumberFormat="1" applyBorder="1"/>
    <xf numFmtId="9" fontId="0" fillId="0" borderId="0" xfId="2" applyFont="1"/>
    <xf numFmtId="0" fontId="6" fillId="0" borderId="0" xfId="0" applyFont="1"/>
    <xf numFmtId="0" fontId="7" fillId="0" borderId="0" xfId="0" applyFont="1"/>
    <xf numFmtId="0" fontId="7" fillId="0" borderId="3" xfId="0" applyFont="1" applyBorder="1"/>
    <xf numFmtId="9" fontId="7" fillId="0" borderId="4" xfId="0" applyNumberFormat="1" applyFont="1" applyBorder="1"/>
    <xf numFmtId="44" fontId="7" fillId="0" borderId="4" xfId="1" applyFont="1" applyBorder="1"/>
    <xf numFmtId="44" fontId="0" fillId="0" borderId="3" xfId="0" applyNumberFormat="1" applyBorder="1"/>
    <xf numFmtId="9" fontId="0" fillId="0" borderId="3" xfId="0" applyNumberFormat="1" applyBorder="1"/>
    <xf numFmtId="44" fontId="0" fillId="0" borderId="3" xfId="1" applyFont="1" applyBorder="1"/>
    <xf numFmtId="0" fontId="7" fillId="0" borderId="5" xfId="0" applyFont="1" applyBorder="1"/>
    <xf numFmtId="9" fontId="7" fillId="0" borderId="6" xfId="0" applyNumberFormat="1" applyFont="1" applyBorder="1"/>
    <xf numFmtId="44" fontId="7" fillId="0" borderId="6" xfId="1" applyFont="1" applyBorder="1"/>
    <xf numFmtId="44" fontId="7" fillId="0" borderId="0" xfId="0" applyNumberFormat="1" applyFont="1"/>
    <xf numFmtId="9" fontId="7" fillId="0" borderId="0" xfId="2" applyFont="1"/>
    <xf numFmtId="44" fontId="7" fillId="0" borderId="0" xfId="1" applyFont="1"/>
    <xf numFmtId="9" fontId="7" fillId="0" borderId="0" xfId="0" applyNumberFormat="1" applyFont="1"/>
    <xf numFmtId="44" fontId="0" fillId="0" borderId="0" xfId="1" applyFont="1" applyBorder="1"/>
    <xf numFmtId="9" fontId="0" fillId="0" borderId="0" xfId="2" applyFont="1" applyBorder="1"/>
    <xf numFmtId="44" fontId="7" fillId="0" borderId="3" xfId="1" applyFont="1" applyBorder="1"/>
    <xf numFmtId="44" fontId="7" fillId="0" borderId="0" xfId="1" applyFont="1" applyBorder="1"/>
    <xf numFmtId="9" fontId="0" fillId="0" borderId="0" xfId="0" applyNumberFormat="1"/>
    <xf numFmtId="9" fontId="7" fillId="0" borderId="0" xfId="2" applyFont="1" applyBorder="1"/>
  </cellXfs>
  <cellStyles count="3">
    <cellStyle name="Currency" xfId="1" builtinId="4"/>
    <cellStyle name="Normal" xfId="0" builtinId="0"/>
    <cellStyle name="Percent" xfId="2" builtinId="5"/>
  </cellStyles>
  <dxfs count="4">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127000</xdr:colOff>
      <xdr:row>0</xdr:row>
      <xdr:rowOff>76200</xdr:rowOff>
    </xdr:from>
    <xdr:to>
      <xdr:col>17</xdr:col>
      <xdr:colOff>0</xdr:colOff>
      <xdr:row>65</xdr:row>
      <xdr:rowOff>25400</xdr:rowOff>
    </xdr:to>
    <xdr:sp macro="" textlink="">
      <xdr:nvSpPr>
        <xdr:cNvPr id="2" name="TextBox 1">
          <a:extLst>
            <a:ext uri="{FF2B5EF4-FFF2-40B4-BE49-F238E27FC236}">
              <a16:creationId xmlns:a16="http://schemas.microsoft.com/office/drawing/2014/main" id="{4852AC7A-9FCD-4471-245A-D404878C7F85}"/>
            </a:ext>
          </a:extLst>
        </xdr:cNvPr>
        <xdr:cNvSpPr txBox="1"/>
      </xdr:nvSpPr>
      <xdr:spPr>
        <a:xfrm>
          <a:off x="127000" y="76200"/>
          <a:ext cx="13906500" cy="131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u="sng"/>
            <a:t>Cost</a:t>
          </a:r>
          <a:r>
            <a:rPr lang="en-US" sz="1600" u="sng" baseline="0"/>
            <a:t> of Production and Gross Margin</a:t>
          </a:r>
        </a:p>
        <a:p>
          <a:r>
            <a:rPr lang="en-US" sz="1400" b="1" u="none" baseline="0"/>
            <a:t>Why?</a:t>
          </a:r>
        </a:p>
        <a:p>
          <a:r>
            <a:rPr lang="en-US" sz="1400" b="0" u="none" baseline="0"/>
            <a:t>Knowing the cost of production for each product is very important for creating a coffee buying plan. Once a business knows how much it costs the organization to produce a bag of coffee, they will be able to caluclate the net margin (how much profit is made for each unit sold) for each product that they are selling. </a:t>
          </a:r>
        </a:p>
        <a:p>
          <a:endParaRPr lang="en-US" sz="1400" b="0" u="none" baseline="0"/>
        </a:p>
        <a:p>
          <a:r>
            <a:rPr lang="en-US" sz="1400" b="0" u="none" baseline="0"/>
            <a:t>Using the net margin, the business can set green coffee cost targets for the green buyer. This lets the business enter buying conversations knowing exactly how much they can pay for coffee and still make a profit. </a:t>
          </a:r>
        </a:p>
        <a:p>
          <a:endParaRPr lang="en-US" sz="1400" b="0" u="none" baseline="0">
            <a:solidFill>
              <a:schemeClr val="accent4">
                <a:lumMod val="40000"/>
                <a:lumOff val="60000"/>
              </a:schemeClr>
            </a:solidFill>
          </a:endParaRPr>
        </a:p>
        <a:p>
          <a:r>
            <a:rPr lang="en-US" sz="1400" b="0" u="none" baseline="0">
              <a:solidFill>
                <a:schemeClr val="tx1"/>
              </a:solidFill>
            </a:rPr>
            <a:t>This spreadsheet does not include the cost of the green coffee. A coffee roasting business will have more than one coffee product. </a:t>
          </a:r>
        </a:p>
        <a:p>
          <a:endParaRPr lang="en-US" sz="1400" b="0" u="none" baseline="0"/>
        </a:p>
        <a:p>
          <a:r>
            <a:rPr lang="en-US" sz="1400" b="1" u="none" baseline="0"/>
            <a:t>Cost of Production</a:t>
          </a:r>
        </a:p>
        <a:p>
          <a:r>
            <a:rPr lang="en-US" sz="1400" b="0" u="none" baseline="0"/>
            <a:t>Calcuating the cost of production is as simple as adding up all of the costs that the business has in a certain time period, and dividing that number by the number of units that the business produced in same time period. </a:t>
          </a:r>
        </a:p>
        <a:p>
          <a:endParaRPr lang="en-US" sz="1400" b="0" u="none" baseline="0"/>
        </a:p>
        <a:p>
          <a:r>
            <a:rPr lang="en-US" sz="1400" b="0" u="none" baseline="0"/>
            <a:t>A business will have two types of costs:</a:t>
          </a:r>
        </a:p>
        <a:p>
          <a:r>
            <a:rPr lang="en-US" sz="1400" b="0" u="sng" baseline="0"/>
            <a:t>Fixed Costs (Overhead)</a:t>
          </a:r>
          <a:r>
            <a:rPr lang="en-US" sz="1400" b="0" u="none" baseline="0"/>
            <a:t>- Do not change regardless of how many bags of coffee are produced. Fixed costs include things like rent or mortgage payments, insurance, internet and phone bill, etc. </a:t>
          </a:r>
        </a:p>
        <a:p>
          <a:endParaRPr lang="en-US" sz="1400" b="0" u="none" baseline="0"/>
        </a:p>
        <a:p>
          <a:r>
            <a:rPr lang="en-US" sz="1400" b="0" u="sng" baseline="0"/>
            <a:t>Variable Costs (Per Unit Costs)- </a:t>
          </a:r>
          <a:r>
            <a:rPr lang="en-US" sz="1400" b="0" u="none" baseline="0"/>
            <a:t>Variable costs are the costs that a business incurs each time the business produces a bag of coffee. At a coffee roastery, this includes things like the coffee itseelf, the bag the coffee goes in, stickers for the bag, etc. </a:t>
          </a:r>
        </a:p>
        <a:p>
          <a:endParaRPr lang="en-US" sz="1400" b="0" u="none" baseline="0"/>
        </a:p>
        <a:p>
          <a:r>
            <a:rPr lang="en-US" sz="1400" b="0" u="none" baseline="0"/>
            <a:t>At a coffee roastery, some costs don't fit neatly into either bucket. Labor is a good example. Some labor costs are fixed: regardless of how much coffee the business is roasting, they will need a certain amount of labor hours to run the factory. However,  above a certain volume, labor costs will increase as it takes more labor hours to produce more coffee. </a:t>
          </a:r>
        </a:p>
        <a:p>
          <a:endParaRPr lang="en-US" sz="1400" b="0" u="none" baseline="0"/>
        </a:p>
        <a:p>
          <a:r>
            <a:rPr lang="en-US" sz="1400" b="0" u="none" baseline="0"/>
            <a:t>In this analysis, labor, fuel, and other expenses are included with overhead (fixed) costs. </a:t>
          </a:r>
        </a:p>
        <a:p>
          <a:endParaRPr lang="en-US" sz="1400" b="0" u="none" baseline="0"/>
        </a:p>
        <a:p>
          <a:r>
            <a:rPr lang="en-US" sz="1400" b="1" u="none" baseline="0"/>
            <a:t>Gross Margin %</a:t>
          </a:r>
        </a:p>
        <a:p>
          <a:r>
            <a:rPr lang="en-US" sz="1400" b="0" u="none" baseline="0"/>
            <a:t>Gross Margin is the portion of the sale price of a prodcut that becomes gross profit. For a coffee roasting business, understanding gross margin % is important for setting prices to customers and setting cost targets for the green buyer.</a:t>
          </a:r>
        </a:p>
        <a:p>
          <a:endParaRPr lang="en-US" sz="1400" b="1" u="none" baseline="0"/>
        </a:p>
        <a:p>
          <a:r>
            <a:rPr lang="en-US" sz="1400" b="0" u="none" baseline="0"/>
            <a:t>This spreadsheet sets a gross margin % target of 50%. In reality, most coffee companies will have many customers that buy coffee at different price points, and therefore, different margins. Understanding your margins at different price levels can be very helpful for setting prices for retail and wholesale. </a:t>
          </a:r>
        </a:p>
        <a:p>
          <a:endParaRPr lang="en-US" sz="1400" b="0" u="none" baseline="0"/>
        </a:p>
        <a:p>
          <a:r>
            <a:rPr lang="en-US" sz="1400" b="0" i="1" u="none" baseline="0"/>
            <a:t>The margin % target of 50% is just an example and might not be a good target for many comapnies. When setting prices, companies should consider how their prices compare to competitors in the market. Understanding costs and margins can keep a busniess from selling a coffee at a price where it is not profitable. </a:t>
          </a:r>
        </a:p>
        <a:p>
          <a:endParaRPr lang="en-US" sz="1400" b="0" u="none" baseline="0"/>
        </a:p>
        <a:p>
          <a:r>
            <a:rPr lang="en-US" sz="1400" b="1" u="none" baseline="0"/>
            <a:t>What are we looking for?</a:t>
          </a:r>
        </a:p>
        <a:p>
          <a:r>
            <a:rPr lang="en-US" sz="1400" b="0" u="none" baseline="0"/>
            <a:t>This analysis estimates how much it costs a business to produce a 1lb bag of coffee ion the Cost of Production Analysis tab and then combines that number with actual green coffee costs for blends and SO products. Using these calculators, the business can understand its gross margin for each product. </a:t>
          </a:r>
        </a:p>
        <a:p>
          <a:endParaRPr lang="en-US" sz="1400" b="0" u="none" baseline="0"/>
        </a:p>
        <a:p>
          <a:r>
            <a:rPr lang="en-US" sz="1400" b="1" u="none" baseline="0"/>
            <a:t>Notes:</a:t>
          </a:r>
        </a:p>
        <a:p>
          <a:r>
            <a:rPr lang="en-US" sz="1400" b="0" u="none" baseline="0"/>
            <a:t>Some costs will vary from month to month. It's important for the business to update the cost of production analysis frequently (at least quarterly) to make sure it still reflects costs accutrately. </a:t>
          </a:r>
        </a:p>
        <a:p>
          <a:endParaRPr lang="en-US" sz="1400" b="0" u="none" baseline="0"/>
        </a:p>
        <a:p>
          <a:r>
            <a:rPr lang="en-US" sz="1400" b="0" u="none" baseline="0"/>
            <a:t>Every business will have costs that are not included in this spreadsheet.</a:t>
          </a:r>
        </a:p>
        <a:p>
          <a:endParaRPr lang="en-US" sz="1400" b="0" u="none" baseline="0"/>
        </a:p>
        <a:p>
          <a:r>
            <a:rPr lang="en-US" sz="1400" b="0" u="none" baseline="0"/>
            <a:t>This analysis assumes a very simple operation that is only producing 1lb bags of whole bean roasted coffee. </a:t>
          </a:r>
        </a:p>
        <a:p>
          <a:endParaRPr lang="en-US" sz="1400" b="0" u="none" baseline="0"/>
        </a:p>
        <a:p>
          <a:pPr marL="0" marR="0" lvl="0" indent="0" defTabSz="914400" eaLnBrk="1" fontAlgn="auto" latinLnBrk="0" hangingPunct="1">
            <a:lnSpc>
              <a:spcPct val="100000"/>
            </a:lnSpc>
            <a:spcBef>
              <a:spcPts val="0"/>
            </a:spcBef>
            <a:spcAft>
              <a:spcPts val="0"/>
            </a:spcAft>
            <a:buClrTx/>
            <a:buSzTx/>
            <a:buFontTx/>
            <a:buNone/>
            <a:tabLst/>
            <a:defRPr/>
          </a:pPr>
          <a:r>
            <a:rPr lang="en-US" sz="1400" b="0" u="none" baseline="0"/>
            <a:t>The figures in this spreadsheet are made up and are not meant to reflect accurate estimates of business costs for running a roastery.</a:t>
          </a:r>
        </a:p>
        <a:p>
          <a:endParaRPr lang="en-US" sz="1400" b="0" u="none" baseline="0"/>
        </a:p>
        <a:p>
          <a:r>
            <a:rPr lang="en-US" sz="1400" b="0" u="none" baseline="0"/>
            <a:t>This is a very basic version of a cost of production spresheet that is meant to be a starting point for doing an analysis for a coffee roasting business. </a:t>
          </a:r>
        </a:p>
        <a:p>
          <a:endParaRPr lang="en-US" sz="1400" b="0" u="none" baseline="0"/>
        </a:p>
        <a:p>
          <a:r>
            <a:rPr lang="en-US" sz="1400" b="0" u="sng" baseline="0"/>
            <a:t>Efficiency for Sustainabilty is not responsible for any mistakes, bad data, or wrong assumptions that are generated from using this spreadheet. </a:t>
          </a:r>
        </a:p>
        <a:p>
          <a:endParaRPr lang="en-US" sz="1400" b="0" u="none" baseline="0"/>
        </a:p>
        <a:p>
          <a:endParaRPr lang="en-US" sz="1400" b="0" u="none" baseline="0"/>
        </a:p>
        <a:p>
          <a:endParaRPr lang="en-US" sz="1400" b="0" u="none" baseline="0"/>
        </a:p>
        <a:p>
          <a:endParaRPr lang="en-US" sz="1400" b="0" u="none" baseline="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EFS/Downloads/EFS%20Buying%20Plan.xlsx" TargetMode="External"/><Relationship Id="rId1" Type="http://schemas.openxmlformats.org/officeDocument/2006/relationships/externalLinkPath" Target="EFS%20Buying%20Pl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uying Plan Notes"/>
      <sheetName val="Buying Plan "/>
      <sheetName val="Blends Gross Margin Calcs"/>
      <sheetName val="SO Gross Margin Calcs "/>
    </sheetNames>
    <sheetDataSet>
      <sheetData sheetId="0"/>
      <sheetData sheetId="1">
        <row r="9">
          <cell r="F9">
            <v>3</v>
          </cell>
        </row>
        <row r="10">
          <cell r="F10">
            <v>3.5</v>
          </cell>
        </row>
        <row r="11">
          <cell r="F11">
            <v>3.5</v>
          </cell>
        </row>
        <row r="12">
          <cell r="F12">
            <v>3.5</v>
          </cell>
        </row>
        <row r="13">
          <cell r="F13">
            <v>4.75</v>
          </cell>
        </row>
        <row r="14">
          <cell r="F14">
            <v>4.5</v>
          </cell>
        </row>
        <row r="15">
          <cell r="F15">
            <v>4</v>
          </cell>
        </row>
        <row r="16">
          <cell r="F16">
            <v>3.75</v>
          </cell>
        </row>
        <row r="17">
          <cell r="F17">
            <v>3.75</v>
          </cell>
        </row>
        <row r="18">
          <cell r="F18">
            <v>4</v>
          </cell>
        </row>
        <row r="23">
          <cell r="F23">
            <v>4.75</v>
          </cell>
        </row>
        <row r="24">
          <cell r="F24">
            <v>5.25</v>
          </cell>
        </row>
        <row r="25">
          <cell r="F25">
            <v>5.8</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50579-6C7A-0A4C-8060-50DBB24FB7E9}">
  <dimension ref="A1"/>
  <sheetViews>
    <sheetView tabSelected="1" topLeftCell="A29" workbookViewId="0"/>
  </sheetViews>
  <sheetFormatPr baseColWidth="10" defaultRowHeight="16"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6263A-29FC-F64E-B45C-C85995094B4A}">
  <dimension ref="A1:E36"/>
  <sheetViews>
    <sheetView workbookViewId="0">
      <selection activeCell="B36" sqref="B36"/>
    </sheetView>
  </sheetViews>
  <sheetFormatPr baseColWidth="10" defaultRowHeight="16" x14ac:dyDescent="0.2"/>
  <cols>
    <col min="1" max="1" width="31.5" customWidth="1"/>
    <col min="2" max="4" width="20.83203125" customWidth="1"/>
  </cols>
  <sheetData>
    <row r="1" spans="1:5" x14ac:dyDescent="0.2">
      <c r="A1" t="s">
        <v>0</v>
      </c>
    </row>
    <row r="2" spans="1:5" x14ac:dyDescent="0.2">
      <c r="A2" s="1">
        <f ca="1">NOW()</f>
        <v>45145.759617476855</v>
      </c>
    </row>
    <row r="4" spans="1:5" ht="17" thickBot="1" x14ac:dyDescent="0.25">
      <c r="A4" s="2" t="s">
        <v>19</v>
      </c>
    </row>
    <row r="5" spans="1:5" ht="17" thickBot="1" x14ac:dyDescent="0.25">
      <c r="A5" s="11" t="s">
        <v>26</v>
      </c>
      <c r="B5" s="12">
        <f>B36+E17</f>
        <v>2.201657142857143</v>
      </c>
    </row>
    <row r="6" spans="1:5" x14ac:dyDescent="0.2">
      <c r="B6" s="7"/>
    </row>
    <row r="8" spans="1:5" x14ac:dyDescent="0.2">
      <c r="A8" s="2" t="s">
        <v>16</v>
      </c>
    </row>
    <row r="9" spans="1:5" x14ac:dyDescent="0.2">
      <c r="A9" t="s">
        <v>27</v>
      </c>
      <c r="B9" s="5">
        <v>350000</v>
      </c>
    </row>
    <row r="10" spans="1:5" x14ac:dyDescent="0.2">
      <c r="B10" s="5"/>
      <c r="D10" s="3"/>
      <c r="E10" s="9"/>
    </row>
    <row r="11" spans="1:5" x14ac:dyDescent="0.2">
      <c r="E11" s="9"/>
    </row>
    <row r="12" spans="1:5" x14ac:dyDescent="0.2">
      <c r="E12" s="9"/>
    </row>
    <row r="13" spans="1:5" x14ac:dyDescent="0.2">
      <c r="A13" s="2" t="s">
        <v>31</v>
      </c>
      <c r="D13" s="2" t="s">
        <v>30</v>
      </c>
    </row>
    <row r="14" spans="1:5" x14ac:dyDescent="0.2">
      <c r="A14" s="3" t="s">
        <v>11</v>
      </c>
      <c r="D14" s="4" t="s">
        <v>28</v>
      </c>
    </row>
    <row r="15" spans="1:5" x14ac:dyDescent="0.2">
      <c r="A15" t="s">
        <v>1</v>
      </c>
      <c r="B15" s="6">
        <v>5600</v>
      </c>
      <c r="D15" t="s">
        <v>7</v>
      </c>
      <c r="E15" s="9">
        <v>1</v>
      </c>
    </row>
    <row r="16" spans="1:5" x14ac:dyDescent="0.2">
      <c r="A16" t="s">
        <v>2</v>
      </c>
      <c r="B16" s="6">
        <v>1200</v>
      </c>
      <c r="D16" t="s">
        <v>8</v>
      </c>
      <c r="E16" s="9">
        <v>0.21</v>
      </c>
    </row>
    <row r="17" spans="1:5" x14ac:dyDescent="0.2">
      <c r="A17" t="s">
        <v>23</v>
      </c>
      <c r="B17" s="6">
        <v>280</v>
      </c>
      <c r="D17" s="2" t="s">
        <v>29</v>
      </c>
      <c r="E17" s="10">
        <f>SUM(E15:E16)</f>
        <v>1.21</v>
      </c>
    </row>
    <row r="18" spans="1:5" x14ac:dyDescent="0.2">
      <c r="A18" t="s">
        <v>24</v>
      </c>
      <c r="B18" s="6">
        <v>50</v>
      </c>
    </row>
    <row r="19" spans="1:5" x14ac:dyDescent="0.2">
      <c r="A19" t="s">
        <v>25</v>
      </c>
      <c r="B19" s="6">
        <v>150</v>
      </c>
    </row>
    <row r="20" spans="1:5" x14ac:dyDescent="0.2">
      <c r="A20" t="s">
        <v>3</v>
      </c>
      <c r="B20" s="6">
        <v>16465</v>
      </c>
    </row>
    <row r="21" spans="1:5" x14ac:dyDescent="0.2">
      <c r="A21" t="s">
        <v>4</v>
      </c>
      <c r="B21" s="6">
        <v>450</v>
      </c>
    </row>
    <row r="22" spans="1:5" x14ac:dyDescent="0.2">
      <c r="A22" t="s">
        <v>5</v>
      </c>
      <c r="B22" s="6">
        <v>800</v>
      </c>
    </row>
    <row r="23" spans="1:5" x14ac:dyDescent="0.2">
      <c r="A23" t="s">
        <v>6</v>
      </c>
      <c r="B23" s="6">
        <v>70</v>
      </c>
    </row>
    <row r="24" spans="1:5" x14ac:dyDescent="0.2">
      <c r="A24" s="2" t="s">
        <v>13</v>
      </c>
      <c r="B24" s="8">
        <f>SUM(B15:B23)</f>
        <v>25065</v>
      </c>
    </row>
    <row r="26" spans="1:5" x14ac:dyDescent="0.2">
      <c r="A26" s="3" t="s">
        <v>12</v>
      </c>
    </row>
    <row r="27" spans="1:5" x14ac:dyDescent="0.2">
      <c r="A27" t="s">
        <v>9</v>
      </c>
      <c r="B27" s="6">
        <v>8000</v>
      </c>
    </row>
    <row r="28" spans="1:5" x14ac:dyDescent="0.2">
      <c r="A28" t="s">
        <v>10</v>
      </c>
      <c r="B28" s="6">
        <v>500</v>
      </c>
    </row>
    <row r="29" spans="1:5" x14ac:dyDescent="0.2">
      <c r="A29" t="s">
        <v>14</v>
      </c>
      <c r="B29" s="6">
        <v>5800</v>
      </c>
    </row>
    <row r="30" spans="1:5" x14ac:dyDescent="0.2">
      <c r="A30" t="s">
        <v>15</v>
      </c>
      <c r="B30" s="6">
        <v>12000</v>
      </c>
    </row>
    <row r="31" spans="1:5" x14ac:dyDescent="0.2">
      <c r="A31" t="s">
        <v>18</v>
      </c>
      <c r="B31" s="6">
        <v>20000</v>
      </c>
    </row>
    <row r="32" spans="1:5" x14ac:dyDescent="0.2">
      <c r="A32" t="s">
        <v>17</v>
      </c>
      <c r="B32" s="8">
        <f>SUM(B27:B31)</f>
        <v>46300</v>
      </c>
    </row>
    <row r="34" spans="1:2" x14ac:dyDescent="0.2">
      <c r="A34" t="s">
        <v>20</v>
      </c>
      <c r="B34" s="7">
        <f>(B24*12)+B32</f>
        <v>347080</v>
      </c>
    </row>
    <row r="35" spans="1:2" x14ac:dyDescent="0.2">
      <c r="A35" t="s">
        <v>21</v>
      </c>
      <c r="B35" s="5">
        <f>B9+B10</f>
        <v>350000</v>
      </c>
    </row>
    <row r="36" spans="1:2" x14ac:dyDescent="0.2">
      <c r="A36" s="2" t="s">
        <v>22</v>
      </c>
      <c r="B36" s="8">
        <f>B34/B35</f>
        <v>0.9916571428571429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69F90-8429-CE4D-B954-4031D4E1F48A}">
  <dimension ref="A1:H47"/>
  <sheetViews>
    <sheetView workbookViewId="0">
      <selection activeCell="E6" sqref="E6"/>
    </sheetView>
  </sheetViews>
  <sheetFormatPr baseColWidth="10" defaultRowHeight="16" x14ac:dyDescent="0.2"/>
  <cols>
    <col min="1" max="1" width="37.1640625" customWidth="1"/>
    <col min="2" max="8" width="25.83203125" customWidth="1"/>
  </cols>
  <sheetData>
    <row r="1" spans="1:5" x14ac:dyDescent="0.2">
      <c r="A1" s="2" t="s">
        <v>32</v>
      </c>
    </row>
    <row r="2" spans="1:5" x14ac:dyDescent="0.2">
      <c r="A2" s="2"/>
    </row>
    <row r="3" spans="1:5" x14ac:dyDescent="0.2">
      <c r="A3" s="2" t="s">
        <v>33</v>
      </c>
    </row>
    <row r="4" spans="1:5" x14ac:dyDescent="0.2">
      <c r="A4" t="s">
        <v>19</v>
      </c>
      <c r="B4" s="6">
        <v>2.2000000000000002</v>
      </c>
    </row>
    <row r="5" spans="1:5" x14ac:dyDescent="0.2">
      <c r="A5" t="s">
        <v>34</v>
      </c>
      <c r="B5" s="13">
        <v>0.18</v>
      </c>
    </row>
    <row r="6" spans="1:5" x14ac:dyDescent="0.2">
      <c r="A6" t="s">
        <v>35</v>
      </c>
      <c r="B6" s="13">
        <v>0.5</v>
      </c>
    </row>
    <row r="7" spans="1:5" x14ac:dyDescent="0.2">
      <c r="A7" t="s">
        <v>36</v>
      </c>
      <c r="B7" s="6">
        <v>0.15</v>
      </c>
    </row>
    <row r="8" spans="1:5" x14ac:dyDescent="0.2">
      <c r="B8" s="6"/>
    </row>
    <row r="9" spans="1:5" x14ac:dyDescent="0.2">
      <c r="A9" s="2" t="s">
        <v>37</v>
      </c>
      <c r="B9" s="6" t="s">
        <v>38</v>
      </c>
      <c r="C9" t="s">
        <v>39</v>
      </c>
      <c r="D9" t="s">
        <v>40</v>
      </c>
      <c r="E9" t="s">
        <v>41</v>
      </c>
    </row>
    <row r="10" spans="1:5" x14ac:dyDescent="0.2">
      <c r="A10" t="s">
        <v>42</v>
      </c>
      <c r="B10" s="6">
        <v>20</v>
      </c>
      <c r="C10" s="7">
        <f>H21</f>
        <v>7.3475609756097544</v>
      </c>
      <c r="D10" s="7">
        <f>B10-C10</f>
        <v>12.652439024390246</v>
      </c>
      <c r="E10" s="13">
        <f>D10/B10</f>
        <v>0.63262195121951226</v>
      </c>
    </row>
    <row r="11" spans="1:5" x14ac:dyDescent="0.2">
      <c r="A11" t="s">
        <v>43</v>
      </c>
      <c r="B11" s="6">
        <v>20</v>
      </c>
      <c r="C11" s="7">
        <f>H28</f>
        <v>7.3628048780487791</v>
      </c>
      <c r="D11" s="7">
        <f t="shared" ref="D11:D14" si="0">B11-C11</f>
        <v>12.637195121951221</v>
      </c>
      <c r="E11" s="13">
        <f t="shared" ref="E11:E14" si="1">D11/B11</f>
        <v>0.63185975609756106</v>
      </c>
    </row>
    <row r="12" spans="1:5" x14ac:dyDescent="0.2">
      <c r="A12" t="s">
        <v>44</v>
      </c>
      <c r="B12" s="6">
        <v>20</v>
      </c>
      <c r="C12" s="7">
        <f>H35</f>
        <v>7.6219512195121952</v>
      </c>
      <c r="D12" s="7">
        <f t="shared" si="0"/>
        <v>12.378048780487806</v>
      </c>
      <c r="E12" s="13">
        <f t="shared" si="1"/>
        <v>0.61890243902439024</v>
      </c>
    </row>
    <row r="13" spans="1:5" x14ac:dyDescent="0.2">
      <c r="A13" t="s">
        <v>45</v>
      </c>
      <c r="B13" s="6">
        <v>20</v>
      </c>
      <c r="C13" s="7">
        <f>H41</f>
        <v>7.1341463414634143</v>
      </c>
      <c r="D13" s="7">
        <f t="shared" si="0"/>
        <v>12.865853658536587</v>
      </c>
      <c r="E13" s="13">
        <f t="shared" si="1"/>
        <v>0.64329268292682928</v>
      </c>
    </row>
    <row r="14" spans="1:5" x14ac:dyDescent="0.2">
      <c r="A14" t="s">
        <v>46</v>
      </c>
      <c r="B14" s="6">
        <v>20</v>
      </c>
      <c r="C14" s="7">
        <f>H46</f>
        <v>7.7439024390243905</v>
      </c>
      <c r="D14" s="7">
        <f t="shared" si="0"/>
        <v>12.25609756097561</v>
      </c>
      <c r="E14" s="13">
        <f t="shared" si="1"/>
        <v>0.61280487804878048</v>
      </c>
    </row>
    <row r="15" spans="1:5" x14ac:dyDescent="0.2">
      <c r="A15" s="14"/>
      <c r="B15" s="15"/>
      <c r="C15" s="15"/>
    </row>
    <row r="16" spans="1:5" x14ac:dyDescent="0.2">
      <c r="A16" s="14"/>
      <c r="B16" s="15"/>
      <c r="C16" s="15"/>
    </row>
    <row r="17" spans="1:8" x14ac:dyDescent="0.2">
      <c r="A17" s="14" t="s">
        <v>47</v>
      </c>
      <c r="B17" s="15" t="s">
        <v>48</v>
      </c>
      <c r="C17" s="15" t="s">
        <v>49</v>
      </c>
      <c r="D17" t="s">
        <v>50</v>
      </c>
      <c r="E17" t="s">
        <v>51</v>
      </c>
      <c r="F17" t="s">
        <v>52</v>
      </c>
      <c r="G17" t="s">
        <v>34</v>
      </c>
      <c r="H17" t="s">
        <v>53</v>
      </c>
    </row>
    <row r="18" spans="1:8" x14ac:dyDescent="0.2">
      <c r="A18" s="16" t="s">
        <v>54</v>
      </c>
      <c r="B18" s="17">
        <v>0.4</v>
      </c>
      <c r="C18" s="18">
        <v>3</v>
      </c>
      <c r="D18" s="19">
        <f>B7</f>
        <v>0.15</v>
      </c>
      <c r="E18" s="19">
        <f>B4</f>
        <v>2.2000000000000002</v>
      </c>
      <c r="F18" s="19">
        <f>SUM(C18:E18)</f>
        <v>5.35</v>
      </c>
      <c r="G18" s="20">
        <f>B5</f>
        <v>0.18</v>
      </c>
      <c r="H18" s="21">
        <f>F18/(1-G18)</f>
        <v>6.5243902439024382</v>
      </c>
    </row>
    <row r="19" spans="1:8" x14ac:dyDescent="0.2">
      <c r="A19" s="22" t="s">
        <v>55</v>
      </c>
      <c r="B19" s="23">
        <v>0.3</v>
      </c>
      <c r="C19" s="24">
        <f>'[1]Buying Plan '!F10</f>
        <v>3.5</v>
      </c>
      <c r="D19" s="19">
        <f>B7</f>
        <v>0.15</v>
      </c>
      <c r="E19" s="19">
        <f>B4</f>
        <v>2.2000000000000002</v>
      </c>
      <c r="F19" s="19">
        <f t="shared" ref="F19:F20" si="2">SUM(C19:E19)</f>
        <v>5.85</v>
      </c>
      <c r="G19" s="20">
        <f>B5</f>
        <v>0.18</v>
      </c>
      <c r="H19" s="21">
        <f t="shared" ref="H19:H20" si="3">F19/(1-G19)</f>
        <v>7.1341463414634134</v>
      </c>
    </row>
    <row r="20" spans="1:8" x14ac:dyDescent="0.2">
      <c r="A20" s="22" t="s">
        <v>56</v>
      </c>
      <c r="B20" s="23">
        <v>0.3</v>
      </c>
      <c r="C20" s="24">
        <f>'[1]Buying Plan '!F13</f>
        <v>4.75</v>
      </c>
      <c r="D20" s="19">
        <f>B7</f>
        <v>0.15</v>
      </c>
      <c r="E20" s="19">
        <f>B4</f>
        <v>2.2000000000000002</v>
      </c>
      <c r="F20" s="19">
        <f t="shared" si="2"/>
        <v>7.1000000000000005</v>
      </c>
      <c r="G20" s="20">
        <f>B5</f>
        <v>0.18</v>
      </c>
      <c r="H20" s="21">
        <f t="shared" si="3"/>
        <v>8.6585365853658534</v>
      </c>
    </row>
    <row r="21" spans="1:8" x14ac:dyDescent="0.2">
      <c r="A21" s="15" t="s">
        <v>57</v>
      </c>
      <c r="B21" s="15"/>
      <c r="C21" s="25">
        <f t="shared" ref="C21:H21" si="4">(C18*$B$18)+(C19*$B$19)+(C20*$B$20)</f>
        <v>3.6749999999999998</v>
      </c>
      <c r="D21" s="25">
        <f t="shared" si="4"/>
        <v>0.15</v>
      </c>
      <c r="E21" s="25">
        <f t="shared" si="4"/>
        <v>2.2000000000000002</v>
      </c>
      <c r="F21" s="25">
        <f t="shared" si="4"/>
        <v>6.0250000000000004</v>
      </c>
      <c r="G21" s="26">
        <f t="shared" si="4"/>
        <v>0.18</v>
      </c>
      <c r="H21" s="27">
        <f t="shared" si="4"/>
        <v>7.3475609756097544</v>
      </c>
    </row>
    <row r="22" spans="1:8" x14ac:dyDescent="0.2">
      <c r="A22" s="15"/>
      <c r="B22" s="15"/>
      <c r="C22" s="15"/>
    </row>
    <row r="23" spans="1:8" x14ac:dyDescent="0.2">
      <c r="A23" s="15"/>
      <c r="B23" s="15"/>
      <c r="C23" s="15"/>
    </row>
    <row r="24" spans="1:8" x14ac:dyDescent="0.2">
      <c r="A24" s="14" t="s">
        <v>58</v>
      </c>
      <c r="B24" s="15" t="s">
        <v>48</v>
      </c>
      <c r="C24" s="15" t="s">
        <v>49</v>
      </c>
      <c r="D24" t="s">
        <v>50</v>
      </c>
      <c r="E24" t="s">
        <v>51</v>
      </c>
      <c r="F24" t="s">
        <v>59</v>
      </c>
      <c r="G24" t="s">
        <v>34</v>
      </c>
      <c r="H24" t="s">
        <v>53</v>
      </c>
    </row>
    <row r="25" spans="1:8" x14ac:dyDescent="0.2">
      <c r="A25" s="16" t="s">
        <v>60</v>
      </c>
      <c r="B25" s="17">
        <v>0.5</v>
      </c>
      <c r="C25" s="18">
        <f>'[1]Buying Plan '!F17</f>
        <v>3.75</v>
      </c>
      <c r="D25" s="19">
        <f>B7</f>
        <v>0.15</v>
      </c>
      <c r="E25" s="19">
        <f>B4</f>
        <v>2.2000000000000002</v>
      </c>
      <c r="F25" s="19">
        <f>SUM(C25:E25)</f>
        <v>6.1</v>
      </c>
      <c r="G25" s="20">
        <f>B5</f>
        <v>0.18</v>
      </c>
      <c r="H25" s="21">
        <f>F25/(1-G25)</f>
        <v>7.4390243902439011</v>
      </c>
    </row>
    <row r="26" spans="1:8" x14ac:dyDescent="0.2">
      <c r="A26" s="22" t="s">
        <v>61</v>
      </c>
      <c r="B26" s="23">
        <v>0.25</v>
      </c>
      <c r="C26" s="24">
        <f>'[1]Buying Plan '!F11</f>
        <v>3.5</v>
      </c>
      <c r="D26" s="19">
        <f>B7</f>
        <v>0.15</v>
      </c>
      <c r="E26" s="19">
        <f>B4</f>
        <v>2.2000000000000002</v>
      </c>
      <c r="F26" s="19">
        <f t="shared" ref="F26:F27" si="5">SUM(C26:E26)</f>
        <v>5.85</v>
      </c>
      <c r="G26" s="20">
        <f>B5</f>
        <v>0.18</v>
      </c>
      <c r="H26" s="21">
        <f t="shared" ref="H26:H27" si="6">F26/(1-G26)</f>
        <v>7.1341463414634134</v>
      </c>
    </row>
    <row r="27" spans="1:8" x14ac:dyDescent="0.2">
      <c r="A27" s="22" t="s">
        <v>62</v>
      </c>
      <c r="B27" s="23">
        <v>0.25</v>
      </c>
      <c r="C27" s="24">
        <f>'[1]Buying Plan '!F16</f>
        <v>3.75</v>
      </c>
      <c r="D27" s="19">
        <f>B7</f>
        <v>0.15</v>
      </c>
      <c r="E27" s="19">
        <f>B4</f>
        <v>2.2000000000000002</v>
      </c>
      <c r="F27" s="19">
        <f t="shared" si="5"/>
        <v>6.1</v>
      </c>
      <c r="G27" s="20">
        <f>B5</f>
        <v>0.18</v>
      </c>
      <c r="H27" s="21">
        <f t="shared" si="6"/>
        <v>7.4390243902439011</v>
      </c>
    </row>
    <row r="28" spans="1:8" x14ac:dyDescent="0.2">
      <c r="A28" s="15" t="s">
        <v>63</v>
      </c>
      <c r="B28" s="15"/>
      <c r="C28" s="25">
        <f t="shared" ref="C28:H28" si="7">(C25*$B$25)+(C26*$B$26)+(C27*$B$27)</f>
        <v>3.6875</v>
      </c>
      <c r="D28" s="25">
        <f t="shared" si="7"/>
        <v>0.15</v>
      </c>
      <c r="E28" s="27">
        <f t="shared" si="7"/>
        <v>2.2000000000000002</v>
      </c>
      <c r="F28" s="27">
        <f t="shared" si="7"/>
        <v>6.0374999999999996</v>
      </c>
      <c r="G28" s="26">
        <f t="shared" si="7"/>
        <v>0.18</v>
      </c>
      <c r="H28" s="27">
        <f t="shared" si="7"/>
        <v>7.3628048780487791</v>
      </c>
    </row>
    <row r="29" spans="1:8" x14ac:dyDescent="0.2">
      <c r="A29" s="15"/>
      <c r="B29" s="15"/>
      <c r="C29" s="15"/>
    </row>
    <row r="30" spans="1:8" x14ac:dyDescent="0.2">
      <c r="A30" s="15"/>
      <c r="B30" s="15"/>
      <c r="C30" s="15"/>
    </row>
    <row r="31" spans="1:8" x14ac:dyDescent="0.2">
      <c r="A31" s="14" t="s">
        <v>44</v>
      </c>
      <c r="B31" s="15" t="s">
        <v>48</v>
      </c>
      <c r="C31" s="15" t="s">
        <v>49</v>
      </c>
      <c r="D31" t="s">
        <v>50</v>
      </c>
      <c r="E31" t="s">
        <v>51</v>
      </c>
      <c r="F31" t="s">
        <v>59</v>
      </c>
      <c r="G31" t="s">
        <v>34</v>
      </c>
      <c r="H31" t="s">
        <v>53</v>
      </c>
    </row>
    <row r="32" spans="1:8" x14ac:dyDescent="0.2">
      <c r="A32" s="16" t="s">
        <v>64</v>
      </c>
      <c r="B32" s="17">
        <v>0.4</v>
      </c>
      <c r="C32" s="18">
        <f>'[1]Buying Plan '!F12</f>
        <v>3.5</v>
      </c>
      <c r="D32" s="19">
        <f>B7</f>
        <v>0.15</v>
      </c>
      <c r="E32" s="19">
        <f>B4</f>
        <v>2.2000000000000002</v>
      </c>
      <c r="F32" s="19">
        <f>SUM(C32:E32)</f>
        <v>5.85</v>
      </c>
      <c r="G32" s="20">
        <f>B5</f>
        <v>0.18</v>
      </c>
      <c r="H32" s="19">
        <f>F32/(1-G32)</f>
        <v>7.1341463414634134</v>
      </c>
    </row>
    <row r="33" spans="1:8" x14ac:dyDescent="0.2">
      <c r="A33" s="22" t="s">
        <v>65</v>
      </c>
      <c r="B33" s="23">
        <v>0.2</v>
      </c>
      <c r="C33" s="24">
        <f>'[1]Buying Plan '!F10</f>
        <v>3.5</v>
      </c>
      <c r="D33" s="19">
        <f>B7</f>
        <v>0.15</v>
      </c>
      <c r="E33" s="19">
        <f>B4</f>
        <v>2.2000000000000002</v>
      </c>
      <c r="F33" s="19">
        <f t="shared" ref="F33:F34" si="8">SUM(C33:E33)</f>
        <v>5.85</v>
      </c>
      <c r="G33" s="20">
        <f>B5</f>
        <v>0.18</v>
      </c>
      <c r="H33" s="19">
        <f t="shared" ref="H33:H34" si="9">F33/(1-G33)</f>
        <v>7.1341463414634134</v>
      </c>
    </row>
    <row r="34" spans="1:8" x14ac:dyDescent="0.2">
      <c r="A34" s="22" t="s">
        <v>66</v>
      </c>
      <c r="B34" s="23">
        <v>0.4</v>
      </c>
      <c r="C34" s="24">
        <f>'[1]Buying Plan '!F14</f>
        <v>4.5</v>
      </c>
      <c r="D34" s="19">
        <f>B7</f>
        <v>0.15</v>
      </c>
      <c r="E34" s="19">
        <f>B4</f>
        <v>2.2000000000000002</v>
      </c>
      <c r="F34" s="19">
        <f t="shared" si="8"/>
        <v>6.8500000000000005</v>
      </c>
      <c r="G34" s="20">
        <f>B5</f>
        <v>0.18</v>
      </c>
      <c r="H34" s="19">
        <f t="shared" si="9"/>
        <v>8.3536585365853657</v>
      </c>
    </row>
    <row r="35" spans="1:8" x14ac:dyDescent="0.2">
      <c r="A35" s="15" t="s">
        <v>63</v>
      </c>
      <c r="B35" s="15"/>
      <c r="C35" s="25">
        <f>(C32*$B$32)+(C33*$B$33)+(C34*$B$34)</f>
        <v>3.9000000000000004</v>
      </c>
      <c r="D35" s="25">
        <f t="shared" ref="D35:H35" si="10">(D32*$B$32)+(D33*$B$33)+(D34*$B$34)</f>
        <v>0.15</v>
      </c>
      <c r="E35" s="25">
        <f t="shared" si="10"/>
        <v>2.2000000000000002</v>
      </c>
      <c r="F35" s="25">
        <f t="shared" si="10"/>
        <v>6.25</v>
      </c>
      <c r="G35" s="26">
        <f t="shared" si="10"/>
        <v>0.18</v>
      </c>
      <c r="H35" s="25">
        <f t="shared" si="10"/>
        <v>7.6219512195121952</v>
      </c>
    </row>
    <row r="36" spans="1:8" x14ac:dyDescent="0.2">
      <c r="A36" s="15"/>
      <c r="B36" s="15"/>
      <c r="C36" s="15"/>
    </row>
    <row r="37" spans="1:8" x14ac:dyDescent="0.2">
      <c r="A37" s="15"/>
      <c r="B37" s="15"/>
      <c r="C37" s="15"/>
    </row>
    <row r="38" spans="1:8" x14ac:dyDescent="0.2">
      <c r="A38" s="14" t="s">
        <v>45</v>
      </c>
      <c r="B38" s="15" t="s">
        <v>48</v>
      </c>
      <c r="C38" s="15" t="s">
        <v>49</v>
      </c>
      <c r="D38" t="s">
        <v>50</v>
      </c>
      <c r="E38" t="s">
        <v>67</v>
      </c>
      <c r="F38" t="s">
        <v>52</v>
      </c>
      <c r="G38" t="s">
        <v>34</v>
      </c>
      <c r="H38" t="s">
        <v>53</v>
      </c>
    </row>
    <row r="39" spans="1:8" x14ac:dyDescent="0.2">
      <c r="A39" s="16" t="s">
        <v>54</v>
      </c>
      <c r="B39" s="17">
        <v>0.5</v>
      </c>
      <c r="C39" s="18">
        <f>'[1]Buying Plan '!F9</f>
        <v>3</v>
      </c>
      <c r="D39" s="19">
        <f>B7</f>
        <v>0.15</v>
      </c>
      <c r="E39" s="19">
        <f>B4</f>
        <v>2.2000000000000002</v>
      </c>
      <c r="F39" s="19">
        <f>SUM(C39:E39)</f>
        <v>5.35</v>
      </c>
      <c r="G39" s="20">
        <f>B5</f>
        <v>0.18</v>
      </c>
      <c r="H39" s="19">
        <f>F39/(1-G39)</f>
        <v>6.5243902439024382</v>
      </c>
    </row>
    <row r="40" spans="1:8" x14ac:dyDescent="0.2">
      <c r="A40" s="22" t="s">
        <v>68</v>
      </c>
      <c r="B40" s="23">
        <v>0.5</v>
      </c>
      <c r="C40" s="24">
        <f>'[1]Buying Plan '!F15</f>
        <v>4</v>
      </c>
      <c r="D40" s="19">
        <f>B7</f>
        <v>0.15</v>
      </c>
      <c r="E40" s="19">
        <f>B4</f>
        <v>2.2000000000000002</v>
      </c>
      <c r="F40" s="19">
        <f>SUM(C40:E40)</f>
        <v>6.3500000000000005</v>
      </c>
      <c r="G40" s="20">
        <f>B5</f>
        <v>0.18</v>
      </c>
      <c r="H40" s="19">
        <f>F40/(1-G40)</f>
        <v>7.7439024390243905</v>
      </c>
    </row>
    <row r="41" spans="1:8" x14ac:dyDescent="0.2">
      <c r="A41" s="15" t="s">
        <v>63</v>
      </c>
      <c r="B41" s="28"/>
      <c r="C41" s="25">
        <f>(C39*$B$39)+(C40*$B$40)</f>
        <v>3.5</v>
      </c>
      <c r="D41" s="25">
        <f t="shared" ref="D41:H41" si="11">(D39*$B$39)+(D40*$B$40)</f>
        <v>0.15</v>
      </c>
      <c r="E41" s="25">
        <f t="shared" si="11"/>
        <v>2.2000000000000002</v>
      </c>
      <c r="F41" s="25">
        <f t="shared" si="11"/>
        <v>5.85</v>
      </c>
      <c r="G41" s="26">
        <f t="shared" si="11"/>
        <v>0.18</v>
      </c>
      <c r="H41" s="25">
        <f t="shared" si="11"/>
        <v>7.1341463414634143</v>
      </c>
    </row>
    <row r="42" spans="1:8" x14ac:dyDescent="0.2">
      <c r="A42" s="15"/>
      <c r="B42" s="28"/>
      <c r="C42" s="15"/>
    </row>
    <row r="43" spans="1:8" x14ac:dyDescent="0.2">
      <c r="A43" s="15"/>
      <c r="B43" s="15"/>
      <c r="C43" s="15"/>
    </row>
    <row r="44" spans="1:8" x14ac:dyDescent="0.2">
      <c r="A44" s="14" t="s">
        <v>69</v>
      </c>
      <c r="B44" s="15" t="s">
        <v>48</v>
      </c>
      <c r="C44" s="15" t="s">
        <v>49</v>
      </c>
      <c r="D44" t="s">
        <v>50</v>
      </c>
      <c r="E44" t="s">
        <v>51</v>
      </c>
      <c r="G44" t="s">
        <v>34</v>
      </c>
      <c r="H44" t="s">
        <v>70</v>
      </c>
    </row>
    <row r="45" spans="1:8" x14ac:dyDescent="0.2">
      <c r="A45" s="16" t="s">
        <v>69</v>
      </c>
      <c r="B45" s="17">
        <v>1</v>
      </c>
      <c r="C45" s="18">
        <f>'[1]Buying Plan '!F18</f>
        <v>4</v>
      </c>
      <c r="D45" s="19">
        <f>B7</f>
        <v>0.15</v>
      </c>
      <c r="E45" s="19">
        <f>B4</f>
        <v>2.2000000000000002</v>
      </c>
      <c r="F45" s="19">
        <f>SUM(C45:E45)</f>
        <v>6.3500000000000005</v>
      </c>
      <c r="G45" s="20">
        <f>B5</f>
        <v>0.18</v>
      </c>
      <c r="H45" s="19">
        <f>F45/(1-G45)</f>
        <v>7.7439024390243905</v>
      </c>
    </row>
    <row r="46" spans="1:8" x14ac:dyDescent="0.2">
      <c r="A46" s="15" t="s">
        <v>63</v>
      </c>
      <c r="B46" s="15"/>
      <c r="C46" s="25">
        <f>(C45*$B$45)</f>
        <v>4</v>
      </c>
      <c r="D46" s="25">
        <f t="shared" ref="D46:H46" si="12">(D45*$B$45)</f>
        <v>0.15</v>
      </c>
      <c r="E46" s="25">
        <f t="shared" si="12"/>
        <v>2.2000000000000002</v>
      </c>
      <c r="F46" s="25">
        <f t="shared" si="12"/>
        <v>6.3500000000000005</v>
      </c>
      <c r="G46" s="26">
        <f t="shared" si="12"/>
        <v>0.18</v>
      </c>
      <c r="H46" s="25">
        <f t="shared" si="12"/>
        <v>7.7439024390243905</v>
      </c>
    </row>
    <row r="47" spans="1:8" x14ac:dyDescent="0.2">
      <c r="A47" s="15"/>
      <c r="B47" s="15"/>
      <c r="C47" s="15"/>
    </row>
  </sheetData>
  <conditionalFormatting sqref="E10:E14">
    <cfRule type="cellIs" dxfId="3" priority="1" operator="lessThanOrEqual">
      <formula>$B$6</formula>
    </cfRule>
    <cfRule type="cellIs" dxfId="2" priority="2" operator="greaterThan">
      <formula>$B$6</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9AA0B-A5B1-1E45-9BA5-A3E7807F05DB}">
  <dimension ref="A1:H180"/>
  <sheetViews>
    <sheetView workbookViewId="0">
      <selection activeCell="D23" sqref="D23"/>
    </sheetView>
  </sheetViews>
  <sheetFormatPr baseColWidth="10" defaultRowHeight="16" x14ac:dyDescent="0.2"/>
  <cols>
    <col min="1" max="1" width="37.1640625" customWidth="1"/>
    <col min="2" max="8" width="25.83203125" customWidth="1"/>
  </cols>
  <sheetData>
    <row r="1" spans="1:5" x14ac:dyDescent="0.2">
      <c r="A1" s="2" t="s">
        <v>79</v>
      </c>
    </row>
    <row r="2" spans="1:5" x14ac:dyDescent="0.2">
      <c r="A2" s="2"/>
    </row>
    <row r="3" spans="1:5" x14ac:dyDescent="0.2">
      <c r="A3" s="2" t="s">
        <v>33</v>
      </c>
    </row>
    <row r="4" spans="1:5" x14ac:dyDescent="0.2">
      <c r="A4" t="s">
        <v>19</v>
      </c>
      <c r="B4" s="29">
        <v>2.2000000000000002</v>
      </c>
    </row>
    <row r="5" spans="1:5" x14ac:dyDescent="0.2">
      <c r="A5" t="s">
        <v>34</v>
      </c>
      <c r="B5" s="30">
        <v>0.18</v>
      </c>
    </row>
    <row r="6" spans="1:5" x14ac:dyDescent="0.2">
      <c r="A6" t="s">
        <v>35</v>
      </c>
      <c r="B6" s="30">
        <v>0.5</v>
      </c>
    </row>
    <row r="7" spans="1:5" x14ac:dyDescent="0.2">
      <c r="A7" t="s">
        <v>36</v>
      </c>
      <c r="B7" s="29">
        <v>0.15</v>
      </c>
    </row>
    <row r="8" spans="1:5" x14ac:dyDescent="0.2">
      <c r="B8" s="29"/>
    </row>
    <row r="9" spans="1:5" x14ac:dyDescent="0.2">
      <c r="A9" s="2" t="s">
        <v>71</v>
      </c>
      <c r="B9" s="6" t="s">
        <v>38</v>
      </c>
      <c r="C9" t="s">
        <v>39</v>
      </c>
      <c r="D9" t="s">
        <v>40</v>
      </c>
      <c r="E9" t="s">
        <v>41</v>
      </c>
    </row>
    <row r="10" spans="1:5" x14ac:dyDescent="0.2">
      <c r="A10" t="s">
        <v>72</v>
      </c>
      <c r="B10" s="29">
        <v>20</v>
      </c>
      <c r="C10" s="7">
        <f>G18</f>
        <v>9.3902439024390247</v>
      </c>
      <c r="D10" s="7">
        <f>B10-C10</f>
        <v>10.609756097560975</v>
      </c>
      <c r="E10" s="30">
        <f>D10/B10</f>
        <v>0.53048780487804881</v>
      </c>
    </row>
    <row r="11" spans="1:5" x14ac:dyDescent="0.2">
      <c r="A11" t="s">
        <v>73</v>
      </c>
      <c r="B11" s="29">
        <v>20</v>
      </c>
      <c r="C11" s="7">
        <f t="shared" ref="C11:C13" si="0">G19</f>
        <v>8.6585365853658534</v>
      </c>
      <c r="D11" s="7">
        <f t="shared" ref="D11:D13" si="1">B11-C11</f>
        <v>11.341463414634147</v>
      </c>
      <c r="E11" s="30">
        <f t="shared" ref="E11:E13" si="2">D11/B11</f>
        <v>0.56707317073170738</v>
      </c>
    </row>
    <row r="12" spans="1:5" x14ac:dyDescent="0.2">
      <c r="A12" t="s">
        <v>74</v>
      </c>
      <c r="B12" s="29">
        <v>20</v>
      </c>
      <c r="C12" s="7">
        <f t="shared" si="0"/>
        <v>9.2682926829268286</v>
      </c>
      <c r="D12" s="7">
        <f t="shared" si="1"/>
        <v>10.731707317073171</v>
      </c>
      <c r="E12" s="30">
        <f t="shared" si="2"/>
        <v>0.53658536585365857</v>
      </c>
    </row>
    <row r="13" spans="1:5" x14ac:dyDescent="0.2">
      <c r="A13" t="s">
        <v>75</v>
      </c>
      <c r="B13" s="29">
        <v>20</v>
      </c>
      <c r="C13" s="7">
        <f t="shared" si="0"/>
        <v>9.9390243902439028</v>
      </c>
      <c r="D13" s="7">
        <f t="shared" si="1"/>
        <v>10.060975609756097</v>
      </c>
      <c r="E13" s="30">
        <f t="shared" si="2"/>
        <v>0.50304878048780488</v>
      </c>
    </row>
    <row r="14" spans="1:5" x14ac:dyDescent="0.2">
      <c r="B14" s="29"/>
      <c r="C14" s="7"/>
      <c r="D14" s="7"/>
      <c r="E14" s="30"/>
    </row>
    <row r="15" spans="1:5" x14ac:dyDescent="0.2">
      <c r="A15" s="14"/>
      <c r="B15" s="15"/>
      <c r="C15" s="15"/>
    </row>
    <row r="16" spans="1:5" x14ac:dyDescent="0.2">
      <c r="A16" s="14"/>
      <c r="B16" s="15"/>
      <c r="C16" s="15"/>
    </row>
    <row r="17" spans="1:8" x14ac:dyDescent="0.2">
      <c r="A17" s="14" t="s">
        <v>76</v>
      </c>
      <c r="B17" s="15" t="s">
        <v>49</v>
      </c>
      <c r="C17" t="s">
        <v>50</v>
      </c>
      <c r="D17" t="s">
        <v>51</v>
      </c>
      <c r="E17" t="s">
        <v>52</v>
      </c>
      <c r="F17" t="s">
        <v>34</v>
      </c>
      <c r="G17" t="s">
        <v>53</v>
      </c>
    </row>
    <row r="18" spans="1:8" x14ac:dyDescent="0.2">
      <c r="A18" s="16" t="s">
        <v>77</v>
      </c>
      <c r="B18" s="31">
        <v>5.35</v>
      </c>
      <c r="C18" s="31">
        <f>$B$7</f>
        <v>0.15</v>
      </c>
      <c r="D18" s="19">
        <f>$B$4</f>
        <v>2.2000000000000002</v>
      </c>
      <c r="E18" s="19">
        <f>SUM(B18:D18)</f>
        <v>7.7</v>
      </c>
      <c r="F18" s="20">
        <f>$B$5</f>
        <v>0.18</v>
      </c>
      <c r="G18" s="21">
        <f>E18/(1-F18)</f>
        <v>9.3902439024390247</v>
      </c>
      <c r="H18" s="29"/>
    </row>
    <row r="19" spans="1:8" x14ac:dyDescent="0.2">
      <c r="A19" s="16" t="s">
        <v>78</v>
      </c>
      <c r="B19" s="31">
        <f>'[1]Buying Plan '!F23</f>
        <v>4.75</v>
      </c>
      <c r="C19" s="31">
        <f t="shared" ref="C19:C21" si="3">$B$7</f>
        <v>0.15</v>
      </c>
      <c r="D19" s="19">
        <f t="shared" ref="D19:D21" si="4">$B$4</f>
        <v>2.2000000000000002</v>
      </c>
      <c r="E19" s="19">
        <f t="shared" ref="E19:E21" si="5">SUM(B19:D19)</f>
        <v>7.1000000000000005</v>
      </c>
      <c r="F19" s="20">
        <f t="shared" ref="F19:F21" si="6">$B$5</f>
        <v>0.18</v>
      </c>
      <c r="G19" s="21">
        <f t="shared" ref="G19:G21" si="7">E19/(1-F19)</f>
        <v>8.6585365853658534</v>
      </c>
      <c r="H19" s="29"/>
    </row>
    <row r="20" spans="1:8" x14ac:dyDescent="0.2">
      <c r="A20" s="16" t="s">
        <v>74</v>
      </c>
      <c r="B20" s="31">
        <f>'[1]Buying Plan '!F24</f>
        <v>5.25</v>
      </c>
      <c r="C20" s="31">
        <f t="shared" si="3"/>
        <v>0.15</v>
      </c>
      <c r="D20" s="19">
        <f t="shared" si="4"/>
        <v>2.2000000000000002</v>
      </c>
      <c r="E20" s="19">
        <f t="shared" si="5"/>
        <v>7.6000000000000005</v>
      </c>
      <c r="F20" s="20">
        <f t="shared" si="6"/>
        <v>0.18</v>
      </c>
      <c r="G20" s="21">
        <f t="shared" si="7"/>
        <v>9.2682926829268286</v>
      </c>
      <c r="H20" s="29"/>
    </row>
    <row r="21" spans="1:8" x14ac:dyDescent="0.2">
      <c r="A21" s="16" t="s">
        <v>75</v>
      </c>
      <c r="B21" s="31">
        <f>'[1]Buying Plan '!F25</f>
        <v>5.8</v>
      </c>
      <c r="C21" s="31">
        <f t="shared" si="3"/>
        <v>0.15</v>
      </c>
      <c r="D21" s="19">
        <f t="shared" si="4"/>
        <v>2.2000000000000002</v>
      </c>
      <c r="E21" s="19">
        <f t="shared" si="5"/>
        <v>8.15</v>
      </c>
      <c r="F21" s="20">
        <f t="shared" si="6"/>
        <v>0.18</v>
      </c>
      <c r="G21" s="21">
        <f t="shared" si="7"/>
        <v>9.9390243902439028</v>
      </c>
      <c r="H21" s="32"/>
    </row>
    <row r="22" spans="1:8" x14ac:dyDescent="0.2">
      <c r="A22" s="15"/>
      <c r="B22" s="15"/>
      <c r="C22" s="15"/>
    </row>
    <row r="23" spans="1:8" x14ac:dyDescent="0.2">
      <c r="A23" s="15"/>
      <c r="B23" s="15"/>
      <c r="C23" s="15"/>
    </row>
    <row r="24" spans="1:8" x14ac:dyDescent="0.2">
      <c r="A24" s="14"/>
      <c r="B24" s="15"/>
      <c r="C24" s="15"/>
    </row>
    <row r="25" spans="1:8" x14ac:dyDescent="0.2">
      <c r="A25" s="15"/>
      <c r="B25" s="28"/>
      <c r="C25" s="32"/>
      <c r="D25" s="7"/>
      <c r="E25" s="7"/>
      <c r="F25" s="7"/>
      <c r="G25" s="33"/>
      <c r="H25" s="29"/>
    </row>
    <row r="26" spans="1:8" x14ac:dyDescent="0.2">
      <c r="A26" s="15"/>
      <c r="B26" s="28"/>
      <c r="C26" s="32"/>
      <c r="D26" s="7"/>
      <c r="E26" s="7"/>
      <c r="F26" s="7"/>
      <c r="G26" s="33"/>
      <c r="H26" s="29"/>
    </row>
    <row r="27" spans="1:8" x14ac:dyDescent="0.2">
      <c r="A27" s="15"/>
      <c r="B27" s="28"/>
      <c r="C27" s="32"/>
      <c r="D27" s="7"/>
      <c r="E27" s="7"/>
      <c r="F27" s="7"/>
      <c r="G27" s="33"/>
      <c r="H27" s="29"/>
    </row>
    <row r="28" spans="1:8" x14ac:dyDescent="0.2">
      <c r="A28" s="15"/>
      <c r="B28" s="15"/>
      <c r="C28" s="25"/>
      <c r="D28" s="25"/>
      <c r="E28" s="32"/>
      <c r="F28" s="32"/>
      <c r="G28" s="34"/>
      <c r="H28" s="32"/>
    </row>
    <row r="29" spans="1:8" x14ac:dyDescent="0.2">
      <c r="A29" s="15"/>
      <c r="B29" s="15"/>
      <c r="C29" s="15"/>
    </row>
    <row r="30" spans="1:8" x14ac:dyDescent="0.2">
      <c r="A30" s="15"/>
      <c r="B30" s="15"/>
      <c r="C30" s="15"/>
    </row>
    <row r="31" spans="1:8" x14ac:dyDescent="0.2">
      <c r="A31" s="14"/>
      <c r="B31" s="15"/>
      <c r="C31" s="15"/>
    </row>
    <row r="32" spans="1:8" x14ac:dyDescent="0.2">
      <c r="A32" s="15"/>
      <c r="B32" s="28"/>
      <c r="C32" s="32"/>
      <c r="D32" s="7"/>
      <c r="E32" s="7"/>
      <c r="F32" s="7"/>
      <c r="G32" s="33"/>
      <c r="H32" s="7"/>
    </row>
    <row r="33" spans="1:8" x14ac:dyDescent="0.2">
      <c r="A33" s="15"/>
      <c r="B33" s="28"/>
      <c r="C33" s="32"/>
      <c r="D33" s="7"/>
      <c r="E33" s="7"/>
      <c r="F33" s="7"/>
      <c r="G33" s="33"/>
      <c r="H33" s="7"/>
    </row>
    <row r="34" spans="1:8" x14ac:dyDescent="0.2">
      <c r="A34" s="15"/>
      <c r="B34" s="28"/>
      <c r="C34" s="32"/>
      <c r="D34" s="7"/>
      <c r="E34" s="7"/>
      <c r="F34" s="7"/>
      <c r="G34" s="33"/>
      <c r="H34" s="7"/>
    </row>
    <row r="35" spans="1:8" x14ac:dyDescent="0.2">
      <c r="A35" s="15"/>
      <c r="B35" s="15"/>
      <c r="C35" s="25"/>
      <c r="D35" s="25"/>
      <c r="E35" s="25"/>
      <c r="F35" s="25"/>
      <c r="G35" s="34"/>
      <c r="H35" s="25"/>
    </row>
    <row r="36" spans="1:8" x14ac:dyDescent="0.2">
      <c r="A36" s="15"/>
      <c r="B36" s="15"/>
      <c r="C36" s="15"/>
    </row>
    <row r="37" spans="1:8" x14ac:dyDescent="0.2">
      <c r="A37" s="15"/>
      <c r="B37" s="15"/>
      <c r="C37" s="15"/>
    </row>
    <row r="38" spans="1:8" x14ac:dyDescent="0.2">
      <c r="A38" s="14"/>
      <c r="B38" s="15"/>
      <c r="C38" s="15"/>
    </row>
    <row r="39" spans="1:8" x14ac:dyDescent="0.2">
      <c r="A39" s="15"/>
      <c r="B39" s="28"/>
      <c r="C39" s="32"/>
      <c r="D39" s="7"/>
      <c r="E39" s="7"/>
      <c r="F39" s="7"/>
      <c r="G39" s="33"/>
      <c r="H39" s="7"/>
    </row>
    <row r="40" spans="1:8" x14ac:dyDescent="0.2">
      <c r="A40" s="15"/>
      <c r="B40" s="28"/>
      <c r="C40" s="32"/>
      <c r="D40" s="7"/>
      <c r="E40" s="7"/>
      <c r="F40" s="7"/>
      <c r="G40" s="33"/>
      <c r="H40" s="7"/>
    </row>
    <row r="41" spans="1:8" x14ac:dyDescent="0.2">
      <c r="A41" s="15"/>
      <c r="B41" s="28"/>
      <c r="C41" s="25"/>
      <c r="D41" s="25"/>
      <c r="E41" s="25"/>
      <c r="F41" s="25"/>
      <c r="G41" s="34"/>
      <c r="H41" s="25"/>
    </row>
    <row r="42" spans="1:8" x14ac:dyDescent="0.2">
      <c r="A42" s="15"/>
      <c r="B42" s="28"/>
      <c r="C42" s="15"/>
    </row>
    <row r="43" spans="1:8" x14ac:dyDescent="0.2">
      <c r="A43" s="15"/>
      <c r="B43" s="15"/>
      <c r="C43" s="15"/>
    </row>
    <row r="44" spans="1:8" x14ac:dyDescent="0.2">
      <c r="A44" s="14"/>
      <c r="B44" s="15"/>
      <c r="C44" s="15"/>
    </row>
    <row r="45" spans="1:8" x14ac:dyDescent="0.2">
      <c r="A45" s="15"/>
      <c r="B45" s="28"/>
      <c r="C45" s="32"/>
      <c r="D45" s="7"/>
      <c r="E45" s="7"/>
      <c r="F45" s="7"/>
      <c r="G45" s="33"/>
      <c r="H45" s="7"/>
    </row>
    <row r="46" spans="1:8" x14ac:dyDescent="0.2">
      <c r="A46" s="15"/>
      <c r="B46" s="15"/>
      <c r="C46" s="25"/>
      <c r="D46" s="25"/>
      <c r="E46" s="25"/>
      <c r="F46" s="25"/>
      <c r="G46" s="34"/>
      <c r="H46" s="25"/>
    </row>
    <row r="47" spans="1:8" x14ac:dyDescent="0.2">
      <c r="A47" s="15"/>
      <c r="B47" s="15"/>
      <c r="C47" s="15"/>
    </row>
    <row r="180" spans="2:2" x14ac:dyDescent="0.2">
      <c r="B180">
        <v>-335544.32000000001</v>
      </c>
    </row>
  </sheetData>
  <conditionalFormatting sqref="E10:E13">
    <cfRule type="cellIs" dxfId="1" priority="1" operator="lessThanOrEqual">
      <formula>$B$6</formula>
    </cfRule>
    <cfRule type="cellIs" dxfId="0" priority="2" operator="greaterThan">
      <formula>$B$6</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Cost of Production Notes</vt:lpstr>
      <vt:lpstr>Cost of Production Analysis </vt:lpstr>
      <vt:lpstr>Blends Gross Margin Calculator </vt:lpstr>
      <vt:lpstr>SO Gorss Margin Calculator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Irving Farm</dc:creator>
  <cp:lastModifiedBy>Efficiency for Sustainability </cp:lastModifiedBy>
  <dcterms:created xsi:type="dcterms:W3CDTF">2023-05-24T16:08:56Z</dcterms:created>
  <dcterms:modified xsi:type="dcterms:W3CDTF">2023-08-07T22:19:43Z</dcterms:modified>
</cp:coreProperties>
</file>